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IM OANH- NS THANH PHO\CÔNG KHAI\NĂM 2024\QUÝ 3-2024\"/>
    </mc:Choice>
  </mc:AlternateContent>
  <bookViews>
    <workbookView xWindow="0" yWindow="0" windowWidth="24000" windowHeight="9630" activeTab="2"/>
  </bookViews>
  <sheets>
    <sheet name="MAU 93-ck (2)" sheetId="8" r:id="rId1"/>
    <sheet name="MAU 94-ck (4)" sheetId="10" r:id="rId2"/>
    <sheet name="MAU 95-CK " sheetId="3" r:id="rId3"/>
  </sheets>
  <definedNames>
    <definedName name="_xlnm.Print_Titles" localSheetId="0">'MAU 93-ck (2)'!$9:$10</definedName>
    <definedName name="_xlnm.Print_Titles" localSheetId="1">'MAU 94-ck (4)'!$9:$10</definedName>
    <definedName name="_xlnm.Print_Titles" localSheetId="2">'MAU 95-CK '!$10:$11</definedName>
  </definedNames>
  <calcPr calcId="162913"/>
</workbook>
</file>

<file path=xl/calcChain.xml><?xml version="1.0" encoding="utf-8"?>
<calcChain xmlns="http://schemas.openxmlformats.org/spreadsheetml/2006/main">
  <c r="F38" i="10" l="1"/>
  <c r="E38" i="10"/>
  <c r="E39" i="10"/>
  <c r="K10" i="10"/>
  <c r="D14" i="8" l="1"/>
  <c r="F14" i="8"/>
  <c r="F15" i="8"/>
  <c r="F13" i="8" s="1"/>
  <c r="G13" i="8" s="1"/>
  <c r="F21" i="8"/>
  <c r="D23" i="8"/>
  <c r="F24" i="8"/>
  <c r="F23" i="8" s="1"/>
  <c r="D24" i="8"/>
  <c r="G18" i="8"/>
  <c r="G25" i="8"/>
  <c r="G26" i="8"/>
  <c r="G27" i="8"/>
  <c r="G28" i="8"/>
  <c r="G29" i="8"/>
  <c r="G31" i="8"/>
  <c r="G32" i="8"/>
  <c r="G33" i="8"/>
  <c r="G34" i="8"/>
  <c r="G35" i="8"/>
  <c r="E28" i="8"/>
  <c r="F30" i="8"/>
  <c r="G30" i="8" s="1"/>
  <c r="G15" i="8" l="1"/>
  <c r="G14" i="8"/>
  <c r="F12" i="8"/>
  <c r="G12" i="8" s="1"/>
  <c r="F22" i="8"/>
  <c r="G21" i="8" s="1"/>
  <c r="G24" i="8"/>
  <c r="G23" i="8"/>
  <c r="G22" i="8" l="1"/>
  <c r="C30" i="8" l="1"/>
  <c r="C24" i="8"/>
  <c r="C23" i="8" s="1"/>
  <c r="C18" i="8"/>
  <c r="L55" i="3"/>
  <c r="L54" i="3"/>
  <c r="L53" i="3"/>
  <c r="L52" i="3"/>
  <c r="L46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5" i="3"/>
  <c r="L14" i="3"/>
  <c r="L13" i="3"/>
  <c r="L12" i="3"/>
  <c r="L10" i="3"/>
  <c r="L9" i="3"/>
  <c r="H55" i="3"/>
  <c r="H54" i="3"/>
  <c r="H53" i="3"/>
  <c r="H52" i="3"/>
  <c r="H46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5" i="3"/>
  <c r="H14" i="3"/>
  <c r="H13" i="3"/>
  <c r="H12" i="3"/>
  <c r="H10" i="3"/>
  <c r="H9" i="3"/>
  <c r="D18" i="3" l="1"/>
  <c r="D10" i="3" s="1"/>
  <c r="D32" i="3"/>
  <c r="C9" i="3"/>
  <c r="E56" i="3"/>
  <c r="E55" i="3"/>
  <c r="E54" i="3"/>
  <c r="E46" i="3"/>
  <c r="E44" i="3"/>
  <c r="E43" i="3"/>
  <c r="E42" i="3"/>
  <c r="E41" i="3"/>
  <c r="E40" i="3"/>
  <c r="E39" i="3"/>
  <c r="E38" i="3"/>
  <c r="E37" i="3"/>
  <c r="E36" i="3"/>
  <c r="E35" i="3"/>
  <c r="E33" i="3"/>
  <c r="E31" i="3"/>
  <c r="E30" i="3"/>
  <c r="E29" i="3"/>
  <c r="E28" i="3"/>
  <c r="E27" i="3"/>
  <c r="E26" i="3"/>
  <c r="E25" i="3"/>
  <c r="E24" i="3"/>
  <c r="E23" i="3"/>
  <c r="E22" i="3" l="1"/>
  <c r="E21" i="3"/>
  <c r="E20" i="3"/>
  <c r="E15" i="3"/>
  <c r="E14" i="3"/>
  <c r="E13" i="3"/>
  <c r="N41" i="10" l="1"/>
  <c r="N40" i="10"/>
  <c r="N39" i="10"/>
  <c r="N33" i="10"/>
  <c r="N32" i="10"/>
  <c r="N28" i="10"/>
  <c r="N26" i="10"/>
  <c r="N25" i="10"/>
  <c r="N24" i="10"/>
  <c r="N23" i="10"/>
  <c r="N22" i="10"/>
  <c r="N20" i="10"/>
  <c r="N18" i="10"/>
  <c r="N17" i="10"/>
  <c r="N15" i="10"/>
  <c r="N14" i="10"/>
  <c r="N13" i="10"/>
  <c r="N12" i="10"/>
  <c r="N11" i="10"/>
  <c r="I41" i="10" l="1"/>
  <c r="I40" i="10"/>
  <c r="I39" i="10"/>
  <c r="I38" i="10"/>
  <c r="I33" i="10"/>
  <c r="I32" i="10"/>
  <c r="I28" i="10" l="1"/>
  <c r="I26" i="10"/>
  <c r="I25" i="10"/>
  <c r="I24" i="10"/>
  <c r="I23" i="10"/>
  <c r="I22" i="10"/>
  <c r="I20" i="10"/>
  <c r="I18" i="10"/>
  <c r="I17" i="10"/>
  <c r="I15" i="10"/>
  <c r="I14" i="10"/>
  <c r="I13" i="10"/>
  <c r="I12" i="10"/>
  <c r="I11" i="10"/>
  <c r="K40" i="10" l="1"/>
  <c r="K32" i="10"/>
  <c r="K33" i="10"/>
  <c r="K24" i="10"/>
  <c r="K25" i="10"/>
  <c r="K20" i="10"/>
  <c r="K18" i="10"/>
  <c r="J38" i="10"/>
  <c r="N38" i="10" s="1"/>
  <c r="J40" i="10"/>
  <c r="G41" i="10" l="1"/>
  <c r="E45" i="10"/>
  <c r="F40" i="10"/>
  <c r="F41" i="10"/>
  <c r="E40" i="10"/>
  <c r="E41" i="10"/>
  <c r="E33" i="10"/>
  <c r="E32" i="10"/>
  <c r="E28" i="10"/>
  <c r="E26" i="10"/>
  <c r="E25" i="10"/>
  <c r="E24" i="10"/>
  <c r="E23" i="10"/>
  <c r="E22" i="10"/>
  <c r="E20" i="10"/>
  <c r="E18" i="10"/>
  <c r="E17" i="10"/>
  <c r="E15" i="10"/>
  <c r="E14" i="10"/>
  <c r="E13" i="10" l="1"/>
  <c r="K44" i="3" l="1"/>
  <c r="K39" i="3"/>
  <c r="E38" i="8"/>
  <c r="F16" i="3" l="1"/>
  <c r="F17" i="3"/>
  <c r="D48" i="3" l="1"/>
  <c r="D34" i="3"/>
  <c r="D19" i="3"/>
  <c r="E19" i="3"/>
  <c r="I53" i="3"/>
  <c r="D12" i="3"/>
  <c r="D11" i="3" s="1"/>
  <c r="D17" i="3" l="1"/>
  <c r="D9" i="3" l="1"/>
  <c r="E53" i="3"/>
  <c r="E52" i="3" s="1"/>
  <c r="I52" i="3"/>
  <c r="E48" i="3"/>
  <c r="E47" i="3" s="1"/>
  <c r="G44" i="3"/>
  <c r="K43" i="3"/>
  <c r="G43" i="3"/>
  <c r="K42" i="3"/>
  <c r="G42" i="3"/>
  <c r="K41" i="3"/>
  <c r="G41" i="3"/>
  <c r="K38" i="3"/>
  <c r="G38" i="3"/>
  <c r="K37" i="3"/>
  <c r="K36" i="3"/>
  <c r="G36" i="3"/>
  <c r="K35" i="3"/>
  <c r="I34" i="3"/>
  <c r="K31" i="3"/>
  <c r="G31" i="3"/>
  <c r="K30" i="3"/>
  <c r="G30" i="3"/>
  <c r="K29" i="3"/>
  <c r="K28" i="3"/>
  <c r="G28" i="3"/>
  <c r="K27" i="3"/>
  <c r="G27" i="3"/>
  <c r="K26" i="3"/>
  <c r="K25" i="3"/>
  <c r="G25" i="3"/>
  <c r="K24" i="3"/>
  <c r="K23" i="3"/>
  <c r="G23" i="3"/>
  <c r="K22" i="3"/>
  <c r="K21" i="3"/>
  <c r="G21" i="3"/>
  <c r="K20" i="3"/>
  <c r="I19" i="3"/>
  <c r="K17" i="3"/>
  <c r="J17" i="3"/>
  <c r="G17" i="3"/>
  <c r="K15" i="3"/>
  <c r="J15" i="3"/>
  <c r="G15" i="3"/>
  <c r="F15" i="3"/>
  <c r="K14" i="3"/>
  <c r="J14" i="3"/>
  <c r="K13" i="3"/>
  <c r="J13" i="3"/>
  <c r="I12" i="3"/>
  <c r="K34" i="3" l="1"/>
  <c r="K19" i="3"/>
  <c r="K12" i="3"/>
  <c r="I32" i="3"/>
  <c r="I11" i="3"/>
  <c r="K11" i="3" s="1"/>
  <c r="J12" i="3"/>
  <c r="F14" i="3"/>
  <c r="E12" i="3"/>
  <c r="G14" i="3"/>
  <c r="F13" i="3"/>
  <c r="G13" i="3"/>
  <c r="G20" i="3"/>
  <c r="G29" i="3"/>
  <c r="G22" i="3"/>
  <c r="G24" i="3"/>
  <c r="G26" i="3"/>
  <c r="G35" i="3"/>
  <c r="G37" i="3"/>
  <c r="G39" i="3"/>
  <c r="E34" i="3"/>
  <c r="K32" i="3" l="1"/>
  <c r="I18" i="3"/>
  <c r="J11" i="3"/>
  <c r="E32" i="3"/>
  <c r="G34" i="3"/>
  <c r="G19" i="3"/>
  <c r="G12" i="3"/>
  <c r="F12" i="3"/>
  <c r="E11" i="3"/>
  <c r="E18" i="3" l="1"/>
  <c r="G18" i="3" s="1"/>
  <c r="I10" i="3"/>
  <c r="K18" i="3"/>
  <c r="G11" i="3"/>
  <c r="F11" i="3"/>
  <c r="G32" i="3"/>
  <c r="K10" i="3" l="1"/>
  <c r="I9" i="3"/>
  <c r="I6" i="3" s="1"/>
  <c r="E10" i="3"/>
  <c r="J10" i="3"/>
  <c r="F18" i="3"/>
  <c r="J9" i="3" l="1"/>
  <c r="K9" i="3"/>
  <c r="E9" i="3"/>
  <c r="F10" i="3"/>
  <c r="G10" i="3"/>
  <c r="F9" i="3" l="1"/>
  <c r="G9" i="3"/>
  <c r="L13" i="10"/>
  <c r="L14" i="10"/>
  <c r="L15" i="10"/>
  <c r="L17" i="10"/>
  <c r="L18" i="10"/>
  <c r="L20" i="10"/>
  <c r="L22" i="10"/>
  <c r="L23" i="10"/>
  <c r="L24" i="10"/>
  <c r="L25" i="10"/>
  <c r="L26" i="10"/>
  <c r="L27" i="10"/>
  <c r="L28" i="10"/>
  <c r="L32" i="10"/>
  <c r="L33" i="10"/>
  <c r="L39" i="10"/>
  <c r="L43" i="10"/>
  <c r="G13" i="10"/>
  <c r="G14" i="10"/>
  <c r="G15" i="10"/>
  <c r="G17" i="10"/>
  <c r="G18" i="10"/>
  <c r="G20" i="10"/>
  <c r="G22" i="10"/>
  <c r="G23" i="10"/>
  <c r="G24" i="10"/>
  <c r="G25" i="10"/>
  <c r="G26" i="10"/>
  <c r="G27" i="10"/>
  <c r="G28" i="10"/>
  <c r="G32" i="10"/>
  <c r="G33" i="10"/>
  <c r="G39" i="10"/>
  <c r="F47" i="10"/>
  <c r="F45" i="10"/>
  <c r="F39" i="10"/>
  <c r="F33" i="10"/>
  <c r="F32" i="10" s="1"/>
  <c r="F28" i="10"/>
  <c r="F26" i="10"/>
  <c r="F25" i="10"/>
  <c r="F23" i="10"/>
  <c r="F22" i="10"/>
  <c r="F20" i="10"/>
  <c r="F18" i="10"/>
  <c r="F17" i="10"/>
  <c r="F14" i="10"/>
  <c r="F15" i="10"/>
  <c r="F13" i="10"/>
  <c r="F24" i="10" l="1"/>
  <c r="K39" i="10"/>
  <c r="K38" i="10" s="1"/>
  <c r="K43" i="10"/>
  <c r="K41" i="10"/>
  <c r="K12" i="10" l="1"/>
  <c r="K11" i="10" s="1"/>
  <c r="K9" i="10" l="1"/>
  <c r="J12" i="10"/>
  <c r="L76" i="10"/>
  <c r="D76" i="10"/>
  <c r="C76" i="10"/>
  <c r="D47" i="10"/>
  <c r="C47" i="10"/>
  <c r="D43" i="10"/>
  <c r="M43" i="10" s="1"/>
  <c r="D41" i="10"/>
  <c r="C40" i="10"/>
  <c r="D39" i="10"/>
  <c r="D33" i="10"/>
  <c r="D28" i="10"/>
  <c r="D27" i="10"/>
  <c r="D26" i="10"/>
  <c r="D25" i="10"/>
  <c r="D23" i="10"/>
  <c r="D22" i="10"/>
  <c r="D20" i="10"/>
  <c r="D18" i="10"/>
  <c r="F12" i="10"/>
  <c r="D17" i="10"/>
  <c r="D15" i="10"/>
  <c r="D14" i="10"/>
  <c r="D13" i="10"/>
  <c r="E12" i="10"/>
  <c r="C12" i="10"/>
  <c r="C11" i="10" s="1"/>
  <c r="C38" i="10" l="1"/>
  <c r="C10" i="10" s="1"/>
  <c r="G40" i="10"/>
  <c r="D40" i="10"/>
  <c r="H40" i="10" s="1"/>
  <c r="H41" i="10"/>
  <c r="M18" i="10"/>
  <c r="H18" i="10"/>
  <c r="D32" i="10"/>
  <c r="H33" i="10"/>
  <c r="M33" i="10"/>
  <c r="M25" i="10"/>
  <c r="H25" i="10"/>
  <c r="H15" i="10"/>
  <c r="M15" i="10"/>
  <c r="H14" i="10"/>
  <c r="M14" i="10"/>
  <c r="M26" i="10"/>
  <c r="H26" i="10"/>
  <c r="H17" i="10"/>
  <c r="M17" i="10"/>
  <c r="M27" i="10"/>
  <c r="H27" i="10"/>
  <c r="M28" i="10"/>
  <c r="H28" i="10"/>
  <c r="G12" i="10"/>
  <c r="M22" i="10"/>
  <c r="H22" i="10"/>
  <c r="M20" i="10"/>
  <c r="H20" i="10"/>
  <c r="H39" i="10"/>
  <c r="M39" i="10"/>
  <c r="M13" i="10"/>
  <c r="H13" i="10"/>
  <c r="M23" i="10"/>
  <c r="H23" i="10"/>
  <c r="J11" i="10"/>
  <c r="L12" i="10"/>
  <c r="D12" i="10"/>
  <c r="M12" i="10" s="1"/>
  <c r="D38" i="10"/>
  <c r="E11" i="10"/>
  <c r="D24" i="10"/>
  <c r="L11" i="10" l="1"/>
  <c r="J10" i="10"/>
  <c r="N10" i="10" s="1"/>
  <c r="L38" i="10"/>
  <c r="G38" i="10"/>
  <c r="C9" i="10"/>
  <c r="J9" i="10"/>
  <c r="L9" i="10" s="1"/>
  <c r="M24" i="10"/>
  <c r="H24" i="10"/>
  <c r="M32" i="10"/>
  <c r="H32" i="10"/>
  <c r="M38" i="10"/>
  <c r="H38" i="10"/>
  <c r="E10" i="10"/>
  <c r="G11" i="10"/>
  <c r="H12" i="10"/>
  <c r="F11" i="10"/>
  <c r="F10" i="10" s="1"/>
  <c r="I10" i="10" s="1"/>
  <c r="D11" i="10"/>
  <c r="E9" i="10"/>
  <c r="G9" i="10" s="1"/>
  <c r="L10" i="10" l="1"/>
  <c r="M11" i="10"/>
  <c r="D10" i="10"/>
  <c r="G10" i="10"/>
  <c r="H11" i="10"/>
  <c r="F9" i="10"/>
  <c r="D9" i="10"/>
  <c r="M9" i="10" s="1"/>
  <c r="M10" i="10"/>
  <c r="H9" i="10" l="1"/>
  <c r="H10" i="10"/>
  <c r="C14" i="8"/>
  <c r="E32" i="8"/>
  <c r="E31" i="8"/>
  <c r="E27" i="8"/>
  <c r="E26" i="8"/>
  <c r="E25" i="8"/>
  <c r="E18" i="8"/>
  <c r="E15" i="8"/>
  <c r="E14" i="8" l="1"/>
  <c r="C33" i="8" l="1"/>
  <c r="C22" i="8" s="1"/>
  <c r="D30" i="8" l="1"/>
  <c r="D22" i="8" s="1"/>
  <c r="D21" i="8" s="1"/>
  <c r="H21" i="8" s="1"/>
  <c r="D13" i="8"/>
  <c r="D12" i="8" s="1"/>
  <c r="C13" i="8"/>
  <c r="E30" i="8" l="1"/>
  <c r="E13" i="8"/>
  <c r="C12" i="8"/>
  <c r="E12" i="8" l="1"/>
  <c r="E22" i="8"/>
  <c r="C21" i="8" l="1"/>
  <c r="E21" i="8" l="1"/>
</calcChain>
</file>

<file path=xl/comments1.xml><?xml version="1.0" encoding="utf-8"?>
<comments xmlns="http://schemas.openxmlformats.org/spreadsheetml/2006/main">
  <authors>
    <author>PhongVuBienHoa</author>
  </authors>
  <commentList>
    <comment ref="D20" authorId="0" shapeId="0">
      <text>
        <r>
          <rPr>
            <b/>
            <sz val="8"/>
            <color indexed="81"/>
            <rFont val="Tahoma"/>
            <family val="2"/>
          </rPr>
          <t>PhongVuBienHoa:</t>
        </r>
        <r>
          <rPr>
            <sz val="8"/>
            <color indexed="81"/>
            <rFont val="Tahoma"/>
            <family val="2"/>
          </rPr>
          <t xml:space="preserve">
của xã tp ko hưởng 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I33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SỐ CHI chuyển nguồn xdcb</t>
        </r>
      </text>
    </comment>
  </commentList>
</comments>
</file>

<file path=xl/sharedStrings.xml><?xml version="1.0" encoding="utf-8"?>
<sst xmlns="http://schemas.openxmlformats.org/spreadsheetml/2006/main" count="228" uniqueCount="175">
  <si>
    <t>STT</t>
  </si>
  <si>
    <t>A</t>
  </si>
  <si>
    <t>B</t>
  </si>
  <si>
    <t>Nội dung</t>
  </si>
  <si>
    <t>3=2/1</t>
  </si>
  <si>
    <t>I</t>
  </si>
  <si>
    <t>Chi đầu tư phát triển</t>
  </si>
  <si>
    <t>Dự phòng ngân sách</t>
  </si>
  <si>
    <t>II</t>
  </si>
  <si>
    <t>III</t>
  </si>
  <si>
    <t>C</t>
  </si>
  <si>
    <t>IV</t>
  </si>
  <si>
    <t>CỘNG HÒA XÃ HỘI CHỦ NGHĨA VIỆT NAM</t>
  </si>
  <si>
    <t>Độc Lập - Tự do- Hạnh Phúc</t>
  </si>
  <si>
    <t>CÂN ĐỐI NGÂN SÁCH THÀNH PHỐ BIÊN HÒA</t>
  </si>
  <si>
    <t>a</t>
  </si>
  <si>
    <t>b</t>
  </si>
  <si>
    <t>Tỉnh thu thành phố hưởng</t>
  </si>
  <si>
    <t>Chi cân đối ngân sách thành phố</t>
  </si>
  <si>
    <t xml:space="preserve">Chi thường xuyên </t>
  </si>
  <si>
    <t>trong đó: cấp thành phố</t>
  </si>
  <si>
    <t>Thu khác ngân sách</t>
  </si>
  <si>
    <t>Thu bổ sung từ ngân sách cấp trên</t>
  </si>
  <si>
    <t>D</t>
  </si>
  <si>
    <t>Chi quốc phòng</t>
  </si>
  <si>
    <t>Chi thường xuyên</t>
  </si>
  <si>
    <t>Khối phường xã</t>
  </si>
  <si>
    <t>Thu kết dư năm trước chuyển sang</t>
  </si>
  <si>
    <t>UBND THÀNH PHỐ BIÊN HÒA</t>
  </si>
  <si>
    <t>PHÒNG TÀI CHÍNH KẾ HOẠCH</t>
  </si>
  <si>
    <t>Chi XDCB nguồn vốn tập trung</t>
  </si>
  <si>
    <t>Chi XDCB nguồn thu tiền sử dụng đất</t>
  </si>
  <si>
    <t>Chi XDCB nguồn xổ sổ kiến thiết</t>
  </si>
  <si>
    <t>Chi tạo nguồn cải cách tiền lương</t>
  </si>
  <si>
    <t xml:space="preserve">Thu cân đối ngân sách thành phố </t>
  </si>
  <si>
    <t>Thu Nội đia</t>
  </si>
  <si>
    <t>Chi đầu tư XDCB</t>
  </si>
  <si>
    <t>Thu quản lý qua ngân sách</t>
  </si>
  <si>
    <t>Chi XDCB khác</t>
  </si>
  <si>
    <t>Thu chuyển nguồn từ năm trước chuyển sang</t>
  </si>
  <si>
    <t>TỔNG CHI NGÂN SÁCH HUYỆN (I+II+III)</t>
  </si>
  <si>
    <t>Tạm chi chưa đưa vào cân đối NS</t>
  </si>
  <si>
    <t>TỔNG NGUỒN THU NSNN TRÊN ĐỊA BÀN ( I+II)</t>
  </si>
  <si>
    <t>-</t>
  </si>
  <si>
    <t>Chi đầu tư phát triển NS thành phố</t>
  </si>
  <si>
    <t>Chi XDCB NS phường xã</t>
  </si>
  <si>
    <t>V</t>
  </si>
  <si>
    <t>Trong đó: nếu loại trừ tiền sử dụng đất</t>
  </si>
  <si>
    <t xml:space="preserve">Chi nộp ngân sách cấp trên </t>
  </si>
  <si>
    <t>Chi chuyển giao ngân sách ( bs ngân sách cấp dưới)</t>
  </si>
  <si>
    <t>Độc Lập - Tự do - Hạnh phúc</t>
  </si>
  <si>
    <t>Thu trên địa bàn</t>
  </si>
  <si>
    <t>Thu điều tiết</t>
  </si>
  <si>
    <t>Thu từ khu vực kinh tế ngoài quốc doanh</t>
  </si>
  <si>
    <t>Trong đó: Thu từ cơ sở kinh doanh nhập khẩu tiếp tục bán ra trong nước</t>
  </si>
  <si>
    <t>- Thuế tài nguyên</t>
  </si>
  <si>
    <t>Thuế sử dụng đất nông nghiệp</t>
  </si>
  <si>
    <t>Thuế CQSDĐ</t>
  </si>
  <si>
    <t>Phí, lệ phí</t>
  </si>
  <si>
    <t>- Phí, lệ phí do cơ quan nhà nước địa phương thu</t>
  </si>
  <si>
    <t>Thu tiền thuê đất, mặt nước</t>
  </si>
  <si>
    <t>Thu từ bán tài sản nhà nước</t>
  </si>
  <si>
    <t xml:space="preserve">                - Do địa phương quản lý</t>
  </si>
  <si>
    <t>Thu tiền cho thuê và bán nhà ở thuộc sở hữu nhà nước</t>
  </si>
  <si>
    <t>Trong cân đối</t>
  </si>
  <si>
    <t>Thu từ quỹ đất công ích và thu hoa lợi công sản khác</t>
  </si>
  <si>
    <t>Thu các quyền khai thác khoáng sản</t>
  </si>
  <si>
    <t>Thu từ hoạt động xổ số kiến thiết (kể cả hoạt động xổ số điện toán)</t>
  </si>
  <si>
    <t>THU TỪ DẦU THÔ</t>
  </si>
  <si>
    <t>Thu bổ sung từ ngân sách tỉnh</t>
  </si>
  <si>
    <t>- Thu bổ sung cân đối</t>
  </si>
  <si>
    <t xml:space="preserve">      + Bổ sung đợt I</t>
  </si>
  <si>
    <t xml:space="preserve">      + Bổ sung đợt II</t>
  </si>
  <si>
    <t>Thu từ nguồn thu tại đơn vị</t>
  </si>
  <si>
    <t>Điều tiết</t>
  </si>
  <si>
    <t>Tổng thu trong cân đối được sử dụng (trừ TSSĐ)</t>
  </si>
  <si>
    <t xml:space="preserve"> - Số thu thành phố hưởng </t>
  </si>
  <si>
    <t>KHOẢN CHI</t>
  </si>
  <si>
    <t xml:space="preserve"> % (Thực hiện/dự toán tỉnh giao)</t>
  </si>
  <si>
    <t>TỔNG CHI NGÂN SÁCH ĐỊA PHƯƠNG ( A+B+C+D)</t>
  </si>
  <si>
    <t xml:space="preserve"> CHI CÂN ĐỐI NS ĐỊA PHƯƠNG ( I+II+III)</t>
  </si>
  <si>
    <t>Chi đầu tư phát triển thành phố</t>
  </si>
  <si>
    <t>Chi đầu tư NS thành phố</t>
  </si>
  <si>
    <t>chi đầu tư XDCB tập trung</t>
  </si>
  <si>
    <t>Chi đầu tư XDCB từ nguồn sử dụng đất</t>
  </si>
  <si>
    <t>Chi đầu tư XDCB từ nguồn xổ số kiến thiết</t>
  </si>
  <si>
    <t xml:space="preserve">Chi thường xuyên theo lĩnh vực </t>
  </si>
  <si>
    <t>II.1</t>
  </si>
  <si>
    <t>Ngân sách thành phố</t>
  </si>
  <si>
    <t>Chi an ninh</t>
  </si>
  <si>
    <t xml:space="preserve">Chi sự nghiệp GDĐT và Dạy nghề </t>
  </si>
  <si>
    <t xml:space="preserve">Chi sự nghiệp y tế </t>
  </si>
  <si>
    <t xml:space="preserve">Chi SN văn hóa thông tin </t>
  </si>
  <si>
    <t xml:space="preserve">Chi SN truyền thanh </t>
  </si>
  <si>
    <t xml:space="preserve">Chi SN thể dục -TT </t>
  </si>
  <si>
    <t xml:space="preserve">Chi SN môi trường  </t>
  </si>
  <si>
    <t xml:space="preserve">Chi SN kinh tế </t>
  </si>
  <si>
    <t xml:space="preserve">Chi bảo đảm XH </t>
  </si>
  <si>
    <t xml:space="preserve">Chi lĩnh vực khác </t>
  </si>
  <si>
    <t>II.2</t>
  </si>
  <si>
    <t xml:space="preserve">Ngân sách phường, xã </t>
  </si>
  <si>
    <t>2.1</t>
  </si>
  <si>
    <t>2.2</t>
  </si>
  <si>
    <t>2.3</t>
  </si>
  <si>
    <t>2.4</t>
  </si>
  <si>
    <t>2.5</t>
  </si>
  <si>
    <t>2.6</t>
  </si>
  <si>
    <t>2.7</t>
  </si>
  <si>
    <t>2.8</t>
  </si>
  <si>
    <t>Chi QL nhà nước, các hội đoàn thể</t>
  </si>
  <si>
    <t>2.9</t>
  </si>
  <si>
    <t>2.10</t>
  </si>
  <si>
    <t xml:space="preserve">CHI CHUYỂN GIAO NGÂN SÁCH </t>
  </si>
  <si>
    <t>bổ sung cân đối</t>
  </si>
  <si>
    <t>bổ sung mục tiêu</t>
  </si>
  <si>
    <t>Dự phòng</t>
  </si>
  <si>
    <t>Ngân sách phường xã</t>
  </si>
  <si>
    <t>E</t>
  </si>
  <si>
    <t>CHI CHUYỂN NGUỒN</t>
  </si>
  <si>
    <t>So sánh ước thực hiện với (%)</t>
  </si>
  <si>
    <t>So sánh</t>
  </si>
  <si>
    <t>% so với cùng kỳ</t>
  </si>
  <si>
    <t xml:space="preserve">TỔNG THU NSNN TRÊN ĐỊA BÀN (I+II+III+IV+V+VI) </t>
  </si>
  <si>
    <t>THU NGÂN SÁCH ĐỊA PHƯƠNG (I+II+III)</t>
  </si>
  <si>
    <t>THU NỘI ĐỊA</t>
  </si>
  <si>
    <t>' Thuế GTGT ( 50%)</t>
  </si>
  <si>
    <t>- Thuế thu nhập doanh nghiệp (50%)</t>
  </si>
  <si>
    <t>- Thuế tiêu thụ đặc biệt ( 50%)</t>
  </si>
  <si>
    <t>Lệ phí trước bạ (100%)</t>
  </si>
  <si>
    <t>Thuế sử dụng đất phi nông nghiệp (100%)</t>
  </si>
  <si>
    <t>Thuế thu nhập cá nhân (50%)</t>
  </si>
  <si>
    <t>Thuế bảo vệ môi trường (50%)</t>
  </si>
  <si>
    <t>Tiền sử dụng đất (60%)</t>
  </si>
  <si>
    <t>- Thu do cơ quan, tổ chức, đơn vị thuộc địa phương quản lý</t>
  </si>
  <si>
    <t>- Thu bổ sung mục tiêu</t>
  </si>
  <si>
    <t>- Thu bổ sung mục tiêu từ nguồn xổ sổ kiến thiết</t>
  </si>
  <si>
    <t>Thu chuyển nguồn</t>
  </si>
  <si>
    <t>Thu nộp ngân sách cấp trên</t>
  </si>
  <si>
    <t>VI</t>
  </si>
  <si>
    <t>Thu kết dư</t>
  </si>
  <si>
    <t>VII</t>
  </si>
  <si>
    <t>Thu từ các đơn vị sự nghiệp tại địa phương (60%)</t>
  </si>
  <si>
    <t>Ghi chú: (1) Bao gồm các khoản thu NSĐP hưởng 100%, các khoản thu phân chia giữa NSTW và NSĐP.</t>
  </si>
  <si>
    <t>Dự toán tỉnh giao</t>
  </si>
  <si>
    <t>Dự toán HĐND giao</t>
  </si>
  <si>
    <t xml:space="preserve"> % (Thực hiện/dự toán hđnd  giao)</t>
  </si>
  <si>
    <t>Chi QL nhà nước</t>
  </si>
  <si>
    <t>CHI ĐẦU TƯ PHÁT TRIỂN (chi chuyển nguồn)</t>
  </si>
  <si>
    <t>so cùng kỳ</t>
  </si>
  <si>
    <t>Dự toán năm 2024</t>
  </si>
  <si>
    <t xml:space="preserve">Thực hiện thu ngân sách </t>
  </si>
  <si>
    <t>% ước thực hiệnthu địa bàn / DT 2024</t>
  </si>
  <si>
    <t>% ước thực hiện thu điều tiết năm / DT 2024</t>
  </si>
  <si>
    <t>6=4/1</t>
  </si>
  <si>
    <t>7=5/2</t>
  </si>
  <si>
    <t>10=8/1</t>
  </si>
  <si>
    <t>11=9/2</t>
  </si>
  <si>
    <t>Chi đầu tư NS phường xã</t>
  </si>
  <si>
    <t>Nhiệm vụ chi khác ( ghi chi tiền sử dụng đất)</t>
  </si>
  <si>
    <t>Nhiệm vụ Chi khác XDCB ( chuyển vốn ủy thác)</t>
  </si>
  <si>
    <t>TẠM CHI CHƯA ĐƯA VÀO CÂN ĐỐI NS</t>
  </si>
  <si>
    <t>Thu trên địa bàn quý III năm 2024</t>
  </si>
  <si>
    <t>Thu điều tiết quý III năm 2024</t>
  </si>
  <si>
    <t>Thu trên địa bàn 09 tháng năm 2024</t>
  </si>
  <si>
    <t>Thu điều tiết 9tháng năm 2024</t>
  </si>
  <si>
    <t>THỰC HIỆN THU NGÂN SÁCH THÀNH PHỐ QUÝ III VÀ 09 THÁNG NĂM 2024</t>
  </si>
  <si>
    <t>BÁO CÁO TÌNH HÌNH THỰC HIỆN CHI NGÂN SÁCH QUÝ III VÀ 09 THÁNG NĂM 2024</t>
  </si>
  <si>
    <t>Thực hiện chi quý III/2024</t>
  </si>
  <si>
    <t>Thực hiện chi 09 tháng năm 2024</t>
  </si>
  <si>
    <t xml:space="preserve">Chi bổ sung ngân sách </t>
  </si>
  <si>
    <t>QUÝ III NĂM 2024</t>
  </si>
  <si>
    <t>Thực hiện quý III/2024</t>
  </si>
  <si>
    <t>Thực hiện 09 tháng năm 2024</t>
  </si>
  <si>
    <t>5=4/1</t>
  </si>
  <si>
    <t>Chi khác XDCB (chuyển vốn ủy thác)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</si>
</sst>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44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u val="singleAccounting"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4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"/>
    </font>
    <font>
      <sz val="11"/>
      <color theme="1"/>
      <name val="Times New Roman"/>
      <family val="1"/>
    </font>
    <font>
      <sz val="11"/>
      <color theme="1"/>
      <name val="T"/>
    </font>
    <font>
      <sz val="10"/>
      <name val="Arial"/>
      <family val="2"/>
      <charset val="163"/>
    </font>
    <font>
      <b/>
      <sz val="11"/>
      <name val="Times New Roman"/>
      <family val="1"/>
    </font>
    <font>
      <b/>
      <sz val="11"/>
      <color theme="1"/>
      <name val="Cambria"/>
      <family val="1"/>
      <charset val="163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name val="Times New Roman"/>
      <family val="1"/>
    </font>
    <font>
      <b/>
      <u/>
      <sz val="11"/>
      <name val="Times New Roman"/>
      <family val="1"/>
    </font>
    <font>
      <sz val="11"/>
      <name val="Cambria"/>
      <family val="1"/>
      <charset val="163"/>
      <scheme val="maj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3"/>
      <name val="Times New Roman"/>
      <family val="1"/>
    </font>
    <font>
      <b/>
      <u/>
      <sz val="14"/>
      <name val="Times New Roman"/>
      <family val="1"/>
    </font>
    <font>
      <sz val="11"/>
      <color theme="0"/>
      <name val="Calibri"/>
      <family val="2"/>
      <scheme val="minor"/>
    </font>
    <font>
      <sz val="12"/>
      <name val="Times New Roman"/>
      <family val="2"/>
    </font>
    <font>
      <sz val="12"/>
      <name val="Cambria"/>
      <family val="1"/>
      <scheme val="major"/>
    </font>
    <font>
      <b/>
      <sz val="11"/>
      <name val="Cambria"/>
      <family val="1"/>
      <charset val="163"/>
      <scheme val="major"/>
    </font>
    <font>
      <b/>
      <sz val="11"/>
      <name val="Cambria"/>
      <family val="1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FF0000"/>
      <name val="Times New Roman"/>
      <family val="1"/>
    </font>
    <font>
      <b/>
      <u val="singleAccounting"/>
      <sz val="12"/>
      <name val="Times New Roman"/>
      <family val="1"/>
    </font>
    <font>
      <u val="singleAccounting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/>
  </cellStyleXfs>
  <cellXfs count="263">
    <xf numFmtId="0" fontId="0" fillId="0" borderId="0" xfId="0"/>
    <xf numFmtId="0" fontId="2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/>
    </xf>
    <xf numFmtId="0" fontId="6" fillId="0" borderId="3" xfId="0" applyFont="1" applyBorder="1"/>
    <xf numFmtId="165" fontId="0" fillId="0" borderId="0" xfId="1" applyNumberFormat="1" applyFont="1"/>
    <xf numFmtId="0" fontId="4" fillId="0" borderId="3" xfId="0" applyFont="1" applyBorder="1"/>
    <xf numFmtId="0" fontId="1" fillId="0" borderId="0" xfId="0" applyFont="1" applyAlignment="1">
      <alignment horizontal="center"/>
    </xf>
    <xf numFmtId="165" fontId="7" fillId="0" borderId="3" xfId="1" applyNumberFormat="1" applyFont="1" applyBorder="1" applyAlignment="1">
      <alignment horizontal="center" vertical="center" wrapText="1"/>
    </xf>
    <xf numFmtId="9" fontId="7" fillId="0" borderId="5" xfId="2" applyFont="1" applyBorder="1" applyAlignment="1">
      <alignment horizontal="center"/>
    </xf>
    <xf numFmtId="165" fontId="7" fillId="0" borderId="5" xfId="1" applyNumberFormat="1" applyFont="1" applyBorder="1"/>
    <xf numFmtId="165" fontId="7" fillId="0" borderId="1" xfId="1" applyNumberFormat="1" applyFont="1" applyBorder="1"/>
    <xf numFmtId="9" fontId="7" fillId="0" borderId="1" xfId="2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0" borderId="0" xfId="0" applyNumberFormat="1" applyFont="1"/>
    <xf numFmtId="0" fontId="11" fillId="0" borderId="0" xfId="0" applyFont="1"/>
    <xf numFmtId="165" fontId="11" fillId="0" borderId="0" xfId="1" applyNumberFormat="1" applyFont="1"/>
    <xf numFmtId="0" fontId="11" fillId="0" borderId="1" xfId="0" applyFont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 wrapText="1"/>
    </xf>
    <xf numFmtId="9" fontId="12" fillId="0" borderId="1" xfId="2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vertical="center" wrapText="1"/>
    </xf>
    <xf numFmtId="9" fontId="11" fillId="0" borderId="1" xfId="2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vertical="center" wrapText="1"/>
    </xf>
    <xf numFmtId="0" fontId="11" fillId="0" borderId="0" xfId="0" applyFont="1" applyAlignment="1">
      <alignment vertical="center"/>
    </xf>
    <xf numFmtId="9" fontId="12" fillId="0" borderId="0" xfId="2" applyFont="1" applyBorder="1" applyAlignment="1">
      <alignment horizontal="center" vertical="center" wrapText="1"/>
    </xf>
    <xf numFmtId="165" fontId="12" fillId="0" borderId="0" xfId="1" applyNumberFormat="1" applyFont="1"/>
    <xf numFmtId="165" fontId="12" fillId="0" borderId="0" xfId="0" applyNumberFormat="1" applyFont="1"/>
    <xf numFmtId="165" fontId="18" fillId="0" borderId="0" xfId="1" applyNumberFormat="1" applyFont="1" applyAlignment="1">
      <alignment horizontal="center"/>
    </xf>
    <xf numFmtId="165" fontId="20" fillId="0" borderId="0" xfId="1" applyNumberFormat="1" applyFont="1" applyAlignment="1">
      <alignment horizontal="center"/>
    </xf>
    <xf numFmtId="3" fontId="0" fillId="0" borderId="0" xfId="0" applyNumberFormat="1"/>
    <xf numFmtId="0" fontId="0" fillId="0" borderId="0" xfId="0" applyFont="1"/>
    <xf numFmtId="0" fontId="23" fillId="0" borderId="7" xfId="0" applyFont="1" applyFill="1" applyBorder="1" applyAlignment="1">
      <alignment vertical="top"/>
    </xf>
    <xf numFmtId="0" fontId="24" fillId="0" borderId="7" xfId="3" applyFont="1" applyFill="1" applyBorder="1" applyAlignment="1">
      <alignment horizontal="left" vertical="top" wrapText="1"/>
    </xf>
    <xf numFmtId="9" fontId="22" fillId="0" borderId="1" xfId="2" applyFont="1" applyFill="1" applyBorder="1" applyAlignment="1">
      <alignment vertical="distributed"/>
    </xf>
    <xf numFmtId="3" fontId="0" fillId="0" borderId="0" xfId="0" applyNumberFormat="1" applyFont="1"/>
    <xf numFmtId="0" fontId="23" fillId="2" borderId="1" xfId="0" applyFont="1" applyFill="1" applyBorder="1" applyAlignment="1">
      <alignment vertical="top"/>
    </xf>
    <xf numFmtId="0" fontId="24" fillId="2" borderId="1" xfId="3" applyFont="1" applyFill="1" applyBorder="1" applyAlignment="1">
      <alignment horizontal="left" vertical="top" wrapText="1"/>
    </xf>
    <xf numFmtId="3" fontId="22" fillId="2" borderId="1" xfId="0" applyNumberFormat="1" applyFont="1" applyFill="1" applyBorder="1" applyAlignment="1">
      <alignment vertical="distributed"/>
    </xf>
    <xf numFmtId="0" fontId="0" fillId="2" borderId="0" xfId="0" applyFont="1" applyFill="1"/>
    <xf numFmtId="3" fontId="22" fillId="0" borderId="3" xfId="0" applyNumberFormat="1" applyFont="1" applyFill="1" applyBorder="1" applyAlignment="1">
      <alignment vertical="distributed"/>
    </xf>
    <xf numFmtId="9" fontId="27" fillId="0" borderId="1" xfId="2" applyFont="1" applyFill="1" applyBorder="1" applyAlignment="1">
      <alignment vertical="distributed"/>
    </xf>
    <xf numFmtId="3" fontId="27" fillId="0" borderId="3" xfId="0" applyNumberFormat="1" applyFont="1" applyFill="1" applyBorder="1" applyAlignment="1">
      <alignment vertical="distributed"/>
    </xf>
    <xf numFmtId="0" fontId="23" fillId="0" borderId="1" xfId="0" applyFont="1" applyFill="1" applyBorder="1" applyAlignment="1">
      <alignment vertical="top"/>
    </xf>
    <xf numFmtId="165" fontId="23" fillId="0" borderId="1" xfId="1" applyNumberFormat="1" applyFont="1" applyFill="1" applyBorder="1" applyAlignment="1">
      <alignment vertical="top"/>
    </xf>
    <xf numFmtId="3" fontId="22" fillId="0" borderId="1" xfId="0" applyNumberFormat="1" applyFont="1" applyFill="1" applyBorder="1" applyAlignment="1">
      <alignment vertical="distributed"/>
    </xf>
    <xf numFmtId="3" fontId="27" fillId="2" borderId="1" xfId="0" applyNumberFormat="1" applyFont="1" applyFill="1" applyBorder="1" applyAlignment="1">
      <alignment vertical="distributed"/>
    </xf>
    <xf numFmtId="3" fontId="27" fillId="2" borderId="6" xfId="0" applyNumberFormat="1" applyFont="1" applyFill="1" applyBorder="1" applyAlignment="1">
      <alignment horizontal="right" vertical="distributed"/>
    </xf>
    <xf numFmtId="3" fontId="27" fillId="2" borderId="4" xfId="0" applyNumberFormat="1" applyFont="1" applyFill="1" applyBorder="1" applyAlignment="1">
      <alignment horizontal="right" vertical="distributed"/>
    </xf>
    <xf numFmtId="3" fontId="27" fillId="2" borderId="4" xfId="0" applyNumberFormat="1" applyFont="1" applyFill="1" applyBorder="1" applyAlignment="1">
      <alignment vertical="distributed"/>
    </xf>
    <xf numFmtId="0" fontId="24" fillId="0" borderId="1" xfId="0" applyFont="1" applyFill="1" applyBorder="1" applyAlignment="1">
      <alignment vertical="top"/>
    </xf>
    <xf numFmtId="3" fontId="28" fillId="2" borderId="1" xfId="0" applyNumberFormat="1" applyFont="1" applyFill="1" applyBorder="1" applyAlignment="1">
      <alignment vertical="distributed"/>
    </xf>
    <xf numFmtId="0" fontId="25" fillId="0" borderId="1" xfId="0" applyFont="1" applyFill="1" applyBorder="1" applyAlignment="1">
      <alignment horizontal="center" vertical="top"/>
    </xf>
    <xf numFmtId="3" fontId="22" fillId="0" borderId="1" xfId="0" applyNumberFormat="1" applyFont="1" applyFill="1" applyBorder="1" applyAlignment="1">
      <alignment horizontal="right" vertical="distributed"/>
    </xf>
    <xf numFmtId="0" fontId="24" fillId="0" borderId="1" xfId="0" applyFont="1" applyFill="1" applyBorder="1" applyAlignment="1">
      <alignment horizontal="center" vertical="top"/>
    </xf>
    <xf numFmtId="0" fontId="29" fillId="0" borderId="4" xfId="0" applyFont="1" applyFill="1" applyBorder="1" applyAlignment="1">
      <alignment vertical="top"/>
    </xf>
    <xf numFmtId="3" fontId="27" fillId="2" borderId="6" xfId="0" applyNumberFormat="1" applyFont="1" applyFill="1" applyBorder="1" applyAlignment="1">
      <alignment vertical="distributed"/>
    </xf>
    <xf numFmtId="0" fontId="24" fillId="2" borderId="1" xfId="0" applyFont="1" applyFill="1" applyBorder="1" applyAlignment="1">
      <alignment vertical="top"/>
    </xf>
    <xf numFmtId="3" fontId="27" fillId="0" borderId="13" xfId="0" applyNumberFormat="1" applyFont="1" applyFill="1" applyBorder="1" applyAlignment="1">
      <alignment vertical="distributed"/>
    </xf>
    <xf numFmtId="3" fontId="22" fillId="0" borderId="13" xfId="0" applyNumberFormat="1" applyFont="1" applyFill="1" applyBorder="1" applyAlignment="1">
      <alignment vertical="distributed"/>
    </xf>
    <xf numFmtId="165" fontId="26" fillId="0" borderId="13" xfId="1" applyNumberFormat="1" applyFont="1" applyFill="1" applyBorder="1" applyAlignment="1">
      <alignment vertical="top"/>
    </xf>
    <xf numFmtId="0" fontId="30" fillId="0" borderId="0" xfId="0" applyFont="1"/>
    <xf numFmtId="0" fontId="31" fillId="0" borderId="0" xfId="0" quotePrefix="1" applyFont="1"/>
    <xf numFmtId="165" fontId="3" fillId="0" borderId="0" xfId="1" applyNumberFormat="1" applyFont="1"/>
    <xf numFmtId="3" fontId="27" fillId="0" borderId="4" xfId="0" applyNumberFormat="1" applyFont="1" applyFill="1" applyBorder="1" applyAlignment="1">
      <alignment vertical="distributed"/>
    </xf>
    <xf numFmtId="0" fontId="3" fillId="0" borderId="0" xfId="0" applyFont="1" applyAlignment="1"/>
    <xf numFmtId="0" fontId="7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5" xfId="0" quotePrefix="1" applyFont="1" applyBorder="1" applyAlignment="1">
      <alignment horizontal="center"/>
    </xf>
    <xf numFmtId="0" fontId="9" fillId="0" borderId="5" xfId="0" applyFont="1" applyBorder="1"/>
    <xf numFmtId="0" fontId="9" fillId="0" borderId="1" xfId="0" quotePrefix="1" applyFont="1" applyBorder="1" applyAlignment="1">
      <alignment horizontal="center"/>
    </xf>
    <xf numFmtId="0" fontId="13" fillId="0" borderId="1" xfId="0" applyFont="1" applyBorder="1"/>
    <xf numFmtId="0" fontId="7" fillId="0" borderId="6" xfId="0" quotePrefix="1" applyFont="1" applyBorder="1" applyAlignment="1">
      <alignment horizontal="center"/>
    </xf>
    <xf numFmtId="0" fontId="7" fillId="0" borderId="6" xfId="0" applyFont="1" applyBorder="1"/>
    <xf numFmtId="0" fontId="7" fillId="0" borderId="4" xfId="0" quotePrefix="1" applyFont="1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7" xfId="0" applyFont="1" applyBorder="1"/>
    <xf numFmtId="0" fontId="7" fillId="0" borderId="4" xfId="0" applyFont="1" applyBorder="1"/>
    <xf numFmtId="0" fontId="7" fillId="0" borderId="5" xfId="0" quotePrefix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7" fillId="0" borderId="7" xfId="0" applyFont="1" applyBorder="1"/>
    <xf numFmtId="165" fontId="12" fillId="0" borderId="0" xfId="1" applyNumberFormat="1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165" fontId="12" fillId="2" borderId="1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distributed"/>
    </xf>
    <xf numFmtId="9" fontId="10" fillId="0" borderId="1" xfId="2" applyFont="1" applyBorder="1" applyAlignment="1">
      <alignment horizontal="center"/>
    </xf>
    <xf numFmtId="9" fontId="9" fillId="0" borderId="1" xfId="2" applyFont="1" applyBorder="1" applyAlignment="1">
      <alignment horizontal="center"/>
    </xf>
    <xf numFmtId="9" fontId="9" fillId="0" borderId="7" xfId="2" applyFont="1" applyBorder="1" applyAlignment="1">
      <alignment horizontal="center"/>
    </xf>
    <xf numFmtId="9" fontId="7" fillId="0" borderId="6" xfId="2" applyFont="1" applyBorder="1" applyAlignment="1">
      <alignment horizontal="center"/>
    </xf>
    <xf numFmtId="9" fontId="7" fillId="0" borderId="4" xfId="2" applyFont="1" applyBorder="1" applyAlignment="1">
      <alignment horizontal="center"/>
    </xf>
    <xf numFmtId="165" fontId="16" fillId="0" borderId="0" xfId="1" applyNumberFormat="1" applyFont="1" applyBorder="1" applyAlignment="1">
      <alignment horizontal="center" vertical="center"/>
    </xf>
    <xf numFmtId="0" fontId="12" fillId="0" borderId="0" xfId="0" applyFont="1"/>
    <xf numFmtId="165" fontId="12" fillId="0" borderId="0" xfId="1" applyNumberFormat="1" applyFont="1" applyAlignment="1"/>
    <xf numFmtId="3" fontId="34" fillId="2" borderId="0" xfId="0" applyNumberFormat="1" applyFont="1" applyFill="1"/>
    <xf numFmtId="9" fontId="22" fillId="0" borderId="7" xfId="2" applyFont="1" applyFill="1" applyBorder="1" applyAlignment="1">
      <alignment vertical="distributed"/>
    </xf>
    <xf numFmtId="165" fontId="0" fillId="0" borderId="0" xfId="0" applyNumberFormat="1" applyFont="1"/>
    <xf numFmtId="9" fontId="22" fillId="0" borderId="6" xfId="2" applyFont="1" applyFill="1" applyBorder="1" applyAlignment="1">
      <alignment vertical="distributed"/>
    </xf>
    <xf numFmtId="165" fontId="25" fillId="0" borderId="4" xfId="1" applyNumberFormat="1" applyFont="1" applyFill="1" applyBorder="1" applyAlignment="1">
      <alignment vertical="top"/>
    </xf>
    <xf numFmtId="9" fontId="22" fillId="0" borderId="4" xfId="2" applyFont="1" applyFill="1" applyBorder="1" applyAlignment="1">
      <alignment vertical="distributed"/>
    </xf>
    <xf numFmtId="3" fontId="17" fillId="0" borderId="1" xfId="0" applyNumberFormat="1" applyFont="1" applyFill="1" applyBorder="1" applyAlignment="1">
      <alignment vertical="distributed"/>
    </xf>
    <xf numFmtId="3" fontId="17" fillId="0" borderId="12" xfId="0" applyNumberFormat="1" applyFont="1" applyFill="1" applyBorder="1" applyAlignment="1">
      <alignment vertical="distributed"/>
    </xf>
    <xf numFmtId="165" fontId="35" fillId="0" borderId="0" xfId="1" applyNumberFormat="1" applyFont="1"/>
    <xf numFmtId="165" fontId="10" fillId="0" borderId="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13" fillId="0" borderId="1" xfId="1" applyNumberFormat="1" applyFont="1" applyBorder="1"/>
    <xf numFmtId="165" fontId="7" fillId="0" borderId="6" xfId="1" applyNumberFormat="1" applyFont="1" applyBorder="1"/>
    <xf numFmtId="165" fontId="7" fillId="0" borderId="4" xfId="1" applyNumberFormat="1" applyFont="1" applyBorder="1"/>
    <xf numFmtId="165" fontId="10" fillId="0" borderId="1" xfId="1" applyNumberFormat="1" applyFont="1" applyBorder="1"/>
    <xf numFmtId="165" fontId="9" fillId="0" borderId="7" xfId="1" applyNumberFormat="1" applyFont="1" applyBorder="1"/>
    <xf numFmtId="165" fontId="9" fillId="0" borderId="1" xfId="1" applyNumberFormat="1" applyFont="1" applyBorder="1"/>
    <xf numFmtId="165" fontId="7" fillId="0" borderId="3" xfId="1" applyNumberFormat="1" applyFont="1" applyBorder="1"/>
    <xf numFmtId="0" fontId="9" fillId="0" borderId="3" xfId="0" applyFont="1" applyBorder="1"/>
    <xf numFmtId="165" fontId="37" fillId="0" borderId="1" xfId="1" applyNumberFormat="1" applyFont="1" applyFill="1" applyBorder="1" applyAlignment="1">
      <alignment vertical="top"/>
    </xf>
    <xf numFmtId="3" fontId="22" fillId="0" borderId="7" xfId="0" applyNumberFormat="1" applyFont="1" applyFill="1" applyBorder="1" applyAlignment="1">
      <alignment vertical="distributed"/>
    </xf>
    <xf numFmtId="165" fontId="37" fillId="0" borderId="3" xfId="1" applyNumberFormat="1" applyFont="1" applyFill="1" applyBorder="1" applyAlignment="1">
      <alignment vertical="top"/>
    </xf>
    <xf numFmtId="9" fontId="33" fillId="0" borderId="1" xfId="2" applyNumberFormat="1" applyFont="1" applyBorder="1" applyAlignment="1">
      <alignment horizontal="center"/>
    </xf>
    <xf numFmtId="9" fontId="12" fillId="2" borderId="1" xfId="2" applyFont="1" applyFill="1" applyBorder="1" applyAlignment="1">
      <alignment horizontal="center" vertical="center" wrapText="1"/>
    </xf>
    <xf numFmtId="9" fontId="0" fillId="0" borderId="0" xfId="2" applyFont="1"/>
    <xf numFmtId="0" fontId="0" fillId="0" borderId="0" xfId="0" applyBorder="1"/>
    <xf numFmtId="165" fontId="0" fillId="0" borderId="0" xfId="1" applyNumberFormat="1" applyFont="1" applyBorder="1"/>
    <xf numFmtId="0" fontId="0" fillId="0" borderId="17" xfId="0" applyBorder="1"/>
    <xf numFmtId="3" fontId="34" fillId="2" borderId="18" xfId="0" applyNumberFormat="1" applyFont="1" applyFill="1" applyBorder="1"/>
    <xf numFmtId="9" fontId="12" fillId="0" borderId="1" xfId="2" applyFont="1" applyFill="1" applyBorder="1" applyAlignment="1">
      <alignment vertical="distributed"/>
    </xf>
    <xf numFmtId="3" fontId="22" fillId="2" borderId="7" xfId="0" applyNumberFormat="1" applyFont="1" applyFill="1" applyBorder="1" applyAlignment="1">
      <alignment vertical="distributed"/>
    </xf>
    <xf numFmtId="0" fontId="23" fillId="0" borderId="1" xfId="0" applyFont="1" applyFill="1" applyBorder="1" applyAlignment="1">
      <alignment horizontal="center" vertical="top"/>
    </xf>
    <xf numFmtId="0" fontId="37" fillId="0" borderId="1" xfId="0" applyFont="1" applyFill="1" applyBorder="1" applyAlignment="1">
      <alignment vertical="top"/>
    </xf>
    <xf numFmtId="0" fontId="23" fillId="0" borderId="6" xfId="0" applyFont="1" applyFill="1" applyBorder="1" applyAlignment="1">
      <alignment horizontal="center" vertical="top"/>
    </xf>
    <xf numFmtId="0" fontId="26" fillId="0" borderId="6" xfId="0" applyFont="1" applyFill="1" applyBorder="1" applyAlignment="1">
      <alignment vertical="top"/>
    </xf>
    <xf numFmtId="165" fontId="26" fillId="0" borderId="6" xfId="1" applyNumberFormat="1" applyFont="1" applyFill="1" applyBorder="1" applyAlignment="1">
      <alignment vertical="top"/>
    </xf>
    <xf numFmtId="9" fontId="22" fillId="0" borderId="3" xfId="2" applyFont="1" applyFill="1" applyBorder="1" applyAlignment="1">
      <alignment vertical="distributed"/>
    </xf>
    <xf numFmtId="0" fontId="23" fillId="0" borderId="4" xfId="0" applyFont="1" applyFill="1" applyBorder="1" applyAlignment="1">
      <alignment horizontal="center" vertical="top"/>
    </xf>
    <xf numFmtId="0" fontId="26" fillId="0" borderId="4" xfId="0" applyFont="1" applyFill="1" applyBorder="1" applyAlignment="1">
      <alignment vertical="top"/>
    </xf>
    <xf numFmtId="165" fontId="26" fillId="0" borderId="4" xfId="1" applyNumberFormat="1" applyFont="1" applyFill="1" applyBorder="1" applyAlignment="1">
      <alignment vertical="top"/>
    </xf>
    <xf numFmtId="0" fontId="36" fillId="0" borderId="4" xfId="0" applyFont="1" applyFill="1" applyBorder="1" applyAlignment="1">
      <alignment vertical="top"/>
    </xf>
    <xf numFmtId="0" fontId="23" fillId="0" borderId="5" xfId="0" applyFont="1" applyFill="1" applyBorder="1" applyAlignment="1">
      <alignment horizontal="center" vertical="top"/>
    </xf>
    <xf numFmtId="0" fontId="37" fillId="0" borderId="5" xfId="0" applyFont="1" applyFill="1" applyBorder="1" applyAlignment="1">
      <alignment vertical="top"/>
    </xf>
    <xf numFmtId="165" fontId="38" fillId="0" borderId="5" xfId="1" applyNumberFormat="1" applyFont="1" applyFill="1" applyBorder="1" applyAlignment="1">
      <alignment vertical="top"/>
    </xf>
    <xf numFmtId="3" fontId="27" fillId="0" borderId="5" xfId="0" applyNumberFormat="1" applyFont="1" applyFill="1" applyBorder="1" applyAlignment="1">
      <alignment vertical="distributed"/>
    </xf>
    <xf numFmtId="3" fontId="22" fillId="2" borderId="5" xfId="0" applyNumberFormat="1" applyFont="1" applyFill="1" applyBorder="1" applyAlignment="1">
      <alignment horizontal="right" vertical="distributed"/>
    </xf>
    <xf numFmtId="0" fontId="25" fillId="0" borderId="6" xfId="0" applyFont="1" applyFill="1" applyBorder="1" applyAlignment="1">
      <alignment horizontal="left" vertical="top"/>
    </xf>
    <xf numFmtId="0" fontId="25" fillId="0" borderId="4" xfId="0" applyFont="1" applyFill="1" applyBorder="1" applyAlignment="1">
      <alignment horizontal="left" vertical="top"/>
    </xf>
    <xf numFmtId="165" fontId="29" fillId="0" borderId="4" xfId="1" applyNumberFormat="1" applyFont="1" applyFill="1" applyBorder="1" applyAlignment="1">
      <alignment vertical="top"/>
    </xf>
    <xf numFmtId="0" fontId="25" fillId="0" borderId="5" xfId="0" applyFont="1" applyFill="1" applyBorder="1" applyAlignment="1">
      <alignment horizontal="left" vertical="top"/>
    </xf>
    <xf numFmtId="0" fontId="29" fillId="0" borderId="5" xfId="0" applyFont="1" applyFill="1" applyBorder="1" applyAlignment="1">
      <alignment vertical="top"/>
    </xf>
    <xf numFmtId="165" fontId="29" fillId="0" borderId="5" xfId="1" applyNumberFormat="1" applyFont="1" applyFill="1" applyBorder="1" applyAlignment="1">
      <alignment vertical="top"/>
    </xf>
    <xf numFmtId="3" fontId="27" fillId="2" borderId="5" xfId="0" applyNumberFormat="1" applyFont="1" applyFill="1" applyBorder="1" applyAlignment="1">
      <alignment vertical="distributed"/>
    </xf>
    <xf numFmtId="0" fontId="38" fillId="0" borderId="1" xfId="0" applyFont="1" applyFill="1" applyBorder="1" applyAlignment="1">
      <alignment vertical="top"/>
    </xf>
    <xf numFmtId="165" fontId="38" fillId="0" borderId="1" xfId="1" applyNumberFormat="1" applyFont="1" applyFill="1" applyBorder="1" applyAlignment="1">
      <alignment vertical="top"/>
    </xf>
    <xf numFmtId="0" fontId="26" fillId="0" borderId="1" xfId="0" applyFont="1" applyFill="1" applyBorder="1" applyAlignment="1">
      <alignment vertical="top"/>
    </xf>
    <xf numFmtId="165" fontId="38" fillId="0" borderId="6" xfId="1" applyNumberFormat="1" applyFont="1" applyFill="1" applyBorder="1" applyAlignment="1">
      <alignment vertical="top"/>
    </xf>
    <xf numFmtId="165" fontId="38" fillId="0" borderId="4" xfId="1" applyNumberFormat="1" applyFont="1" applyFill="1" applyBorder="1" applyAlignment="1">
      <alignment vertical="top"/>
    </xf>
    <xf numFmtId="0" fontId="38" fillId="0" borderId="1" xfId="3" applyFont="1" applyFill="1" applyBorder="1" applyAlignment="1">
      <alignment horizontal="left" vertical="top" wrapText="1"/>
    </xf>
    <xf numFmtId="3" fontId="27" fillId="0" borderId="1" xfId="0" applyNumberFormat="1" applyFont="1" applyFill="1" applyBorder="1" applyAlignment="1">
      <alignment vertical="distributed"/>
    </xf>
    <xf numFmtId="0" fontId="22" fillId="2" borderId="1" xfId="0" applyFont="1" applyFill="1" applyBorder="1" applyAlignment="1">
      <alignment wrapText="1"/>
    </xf>
    <xf numFmtId="165" fontId="22" fillId="2" borderId="1" xfId="1" applyNumberFormat="1" applyFont="1" applyFill="1" applyBorder="1"/>
    <xf numFmtId="0" fontId="24" fillId="2" borderId="6" xfId="0" applyFont="1" applyFill="1" applyBorder="1" applyAlignment="1">
      <alignment vertical="top"/>
    </xf>
    <xf numFmtId="3" fontId="22" fillId="2" borderId="6" xfId="0" applyNumberFormat="1" applyFont="1" applyFill="1" applyBorder="1" applyAlignment="1">
      <alignment vertical="distributed"/>
    </xf>
    <xf numFmtId="3" fontId="27" fillId="0" borderId="8" xfId="0" applyNumberFormat="1" applyFont="1" applyFill="1" applyBorder="1" applyAlignment="1">
      <alignment vertical="distributed"/>
    </xf>
    <xf numFmtId="0" fontId="24" fillId="2" borderId="5" xfId="0" applyFont="1" applyFill="1" applyBorder="1" applyAlignment="1">
      <alignment vertical="top"/>
    </xf>
    <xf numFmtId="165" fontId="26" fillId="0" borderId="5" xfId="1" applyNumberFormat="1" applyFont="1" applyFill="1" applyBorder="1" applyAlignment="1">
      <alignment vertical="top"/>
    </xf>
    <xf numFmtId="3" fontId="22" fillId="2" borderId="5" xfId="0" applyNumberFormat="1" applyFont="1" applyFill="1" applyBorder="1" applyAlignment="1">
      <alignment vertical="distributed"/>
    </xf>
    <xf numFmtId="9" fontId="22" fillId="0" borderId="5" xfId="2" applyFont="1" applyFill="1" applyBorder="1" applyAlignment="1">
      <alignment vertical="distributed"/>
    </xf>
    <xf numFmtId="0" fontId="23" fillId="0" borderId="6" xfId="0" applyFont="1" applyFill="1" applyBorder="1" applyAlignment="1">
      <alignment vertical="top"/>
    </xf>
    <xf numFmtId="0" fontId="38" fillId="0" borderId="6" xfId="0" applyFont="1" applyFill="1" applyBorder="1" applyAlignment="1">
      <alignment vertical="top"/>
    </xf>
    <xf numFmtId="3" fontId="22" fillId="0" borderId="6" xfId="0" applyNumberFormat="1" applyFont="1" applyFill="1" applyBorder="1" applyAlignment="1">
      <alignment vertical="distributed"/>
    </xf>
    <xf numFmtId="165" fontId="25" fillId="0" borderId="5" xfId="1" applyNumberFormat="1" applyFont="1" applyFill="1" applyBorder="1" applyAlignment="1">
      <alignment vertical="top"/>
    </xf>
    <xf numFmtId="9" fontId="22" fillId="0" borderId="1" xfId="2" applyFont="1" applyFill="1" applyBorder="1" applyAlignment="1">
      <alignment horizontal="right" vertical="distributed"/>
    </xf>
    <xf numFmtId="3" fontId="17" fillId="0" borderId="1" xfId="0" applyNumberFormat="1" applyFont="1" applyFill="1" applyBorder="1" applyAlignment="1">
      <alignment horizontal="right" vertical="distributed"/>
    </xf>
    <xf numFmtId="9" fontId="17" fillId="0" borderId="1" xfId="2" applyFont="1" applyFill="1" applyBorder="1" applyAlignment="1">
      <alignment horizontal="right" vertical="distributed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165" fontId="26" fillId="0" borderId="3" xfId="1" applyNumberFormat="1" applyFont="1" applyFill="1" applyBorder="1" applyAlignment="1">
      <alignment vertical="top" wrapText="1"/>
    </xf>
    <xf numFmtId="3" fontId="27" fillId="2" borderId="9" xfId="0" applyNumberFormat="1" applyFont="1" applyFill="1" applyBorder="1" applyAlignment="1">
      <alignment vertical="distributed" wrapText="1"/>
    </xf>
    <xf numFmtId="3" fontId="27" fillId="2" borderId="4" xfId="0" applyNumberFormat="1" applyFont="1" applyFill="1" applyBorder="1" applyAlignment="1">
      <alignment vertical="distributed" wrapText="1"/>
    </xf>
    <xf numFmtId="3" fontId="27" fillId="2" borderId="11" xfId="0" applyNumberFormat="1" applyFont="1" applyFill="1" applyBorder="1" applyAlignment="1">
      <alignment vertical="distributed" wrapText="1"/>
    </xf>
    <xf numFmtId="3" fontId="22" fillId="2" borderId="9" xfId="0" applyNumberFormat="1" applyFont="1" applyFill="1" applyBorder="1" applyAlignment="1">
      <alignment vertical="distributed"/>
    </xf>
    <xf numFmtId="9" fontId="22" fillId="0" borderId="9" xfId="2" applyFont="1" applyFill="1" applyBorder="1" applyAlignment="1">
      <alignment vertical="distributed"/>
    </xf>
    <xf numFmtId="9" fontId="22" fillId="0" borderId="13" xfId="2" applyFont="1" applyFill="1" applyBorder="1" applyAlignment="1">
      <alignment vertical="distributed"/>
    </xf>
    <xf numFmtId="165" fontId="37" fillId="0" borderId="7" xfId="1" applyNumberFormat="1" applyFont="1" applyFill="1" applyBorder="1" applyAlignment="1">
      <alignment vertical="top"/>
    </xf>
    <xf numFmtId="9" fontId="22" fillId="0" borderId="10" xfId="2" applyFont="1" applyFill="1" applyBorder="1" applyAlignment="1">
      <alignment vertical="distributed"/>
    </xf>
    <xf numFmtId="3" fontId="27" fillId="0" borderId="7" xfId="0" applyNumberFormat="1" applyFont="1" applyFill="1" applyBorder="1" applyAlignment="1">
      <alignment vertical="distributed"/>
    </xf>
    <xf numFmtId="165" fontId="38" fillId="0" borderId="8" xfId="1" applyNumberFormat="1" applyFont="1" applyFill="1" applyBorder="1" applyAlignment="1">
      <alignment vertical="top"/>
    </xf>
    <xf numFmtId="165" fontId="38" fillId="0" borderId="12" xfId="1" applyNumberFormat="1" applyFont="1" applyFill="1" applyBorder="1" applyAlignment="1">
      <alignment vertical="top"/>
    </xf>
    <xf numFmtId="9" fontId="6" fillId="0" borderId="1" xfId="2" applyFont="1" applyBorder="1"/>
    <xf numFmtId="9" fontId="6" fillId="0" borderId="3" xfId="2" applyFont="1" applyBorder="1"/>
    <xf numFmtId="9" fontId="11" fillId="0" borderId="1" xfId="2" applyFont="1" applyFill="1" applyBorder="1" applyAlignment="1">
      <alignment vertical="distributed"/>
    </xf>
    <xf numFmtId="9" fontId="11" fillId="0" borderId="3" xfId="2" applyFont="1" applyFill="1" applyBorder="1" applyAlignment="1">
      <alignment vertical="distributed"/>
    </xf>
    <xf numFmtId="9" fontId="11" fillId="0" borderId="7" xfId="2" applyFont="1" applyFill="1" applyBorder="1" applyAlignment="1">
      <alignment vertical="distributed"/>
    </xf>
    <xf numFmtId="9" fontId="27" fillId="0" borderId="6" xfId="2" applyFont="1" applyFill="1" applyBorder="1" applyAlignment="1">
      <alignment vertical="distributed"/>
    </xf>
    <xf numFmtId="9" fontId="27" fillId="0" borderId="5" xfId="2" applyFont="1" applyFill="1" applyBorder="1" applyAlignment="1">
      <alignment vertical="distributed"/>
    </xf>
    <xf numFmtId="0" fontId="12" fillId="0" borderId="1" xfId="0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165" fontId="11" fillId="2" borderId="0" xfId="1" applyNumberFormat="1" applyFont="1" applyFill="1"/>
    <xf numFmtId="165" fontId="12" fillId="0" borderId="1" xfId="1" applyNumberFormat="1" applyFont="1" applyBorder="1" applyAlignment="1">
      <alignment horizontal="center" vertical="center" wrapText="1"/>
    </xf>
    <xf numFmtId="165" fontId="11" fillId="0" borderId="0" xfId="0" applyNumberFormat="1" applyFont="1"/>
    <xf numFmtId="165" fontId="41" fillId="2" borderId="1" xfId="1" applyNumberFormat="1" applyFont="1" applyFill="1" applyBorder="1" applyAlignment="1">
      <alignment horizontal="center" vertical="center" wrapText="1"/>
    </xf>
    <xf numFmtId="9" fontId="41" fillId="2" borderId="1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165" fontId="12" fillId="2" borderId="0" xfId="1" applyNumberFormat="1" applyFont="1" applyFill="1"/>
    <xf numFmtId="165" fontId="1" fillId="0" borderId="0" xfId="1" applyNumberFormat="1" applyFont="1"/>
    <xf numFmtId="165" fontId="11" fillId="0" borderId="3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165" fontId="42" fillId="0" borderId="1" xfId="1" applyNumberFormat="1" applyFont="1" applyBorder="1" applyAlignment="1">
      <alignment horizontal="center"/>
    </xf>
    <xf numFmtId="9" fontId="42" fillId="0" borderId="1" xfId="2" applyFont="1" applyBorder="1" applyAlignment="1">
      <alignment horizontal="center"/>
    </xf>
    <xf numFmtId="165" fontId="12" fillId="0" borderId="5" xfId="1" applyNumberFormat="1" applyFont="1" applyBorder="1"/>
    <xf numFmtId="165" fontId="11" fillId="0" borderId="1" xfId="1" applyNumberFormat="1" applyFont="1" applyBorder="1"/>
    <xf numFmtId="165" fontId="11" fillId="0" borderId="4" xfId="1" applyNumberFormat="1" applyFont="1" applyBorder="1"/>
    <xf numFmtId="165" fontId="11" fillId="0" borderId="5" xfId="1" applyNumberFormat="1" applyFont="1" applyBorder="1"/>
    <xf numFmtId="165" fontId="12" fillId="0" borderId="1" xfId="1" applyNumberFormat="1" applyFont="1" applyBorder="1"/>
    <xf numFmtId="165" fontId="11" fillId="0" borderId="6" xfId="1" applyNumberFormat="1" applyFont="1" applyBorder="1"/>
    <xf numFmtId="9" fontId="43" fillId="0" borderId="1" xfId="2" applyFont="1" applyBorder="1" applyAlignment="1">
      <alignment horizontal="center"/>
    </xf>
    <xf numFmtId="9" fontId="43" fillId="0" borderId="1" xfId="2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 vertical="center" wrapText="1"/>
    </xf>
    <xf numFmtId="165" fontId="12" fillId="0" borderId="3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165" fontId="8" fillId="0" borderId="2" xfId="1" applyNumberFormat="1" applyFont="1" applyBorder="1" applyAlignment="1">
      <alignment horizontal="center" vertical="center" wrapText="1"/>
    </xf>
    <xf numFmtId="165" fontId="32" fillId="0" borderId="3" xfId="1" applyNumberFormat="1" applyFont="1" applyBorder="1" applyAlignment="1">
      <alignment horizontal="center" vertical="center" wrapText="1"/>
    </xf>
    <xf numFmtId="165" fontId="8" fillId="0" borderId="3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5" fontId="12" fillId="0" borderId="0" xfId="1" applyNumberFormat="1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65" fontId="12" fillId="2" borderId="14" xfId="1" applyNumberFormat="1" applyFont="1" applyFill="1" applyBorder="1" applyAlignment="1">
      <alignment horizontal="center" vertical="center" wrapText="1"/>
    </xf>
    <xf numFmtId="165" fontId="12" fillId="2" borderId="16" xfId="1" applyNumberFormat="1" applyFont="1" applyFill="1" applyBorder="1" applyAlignment="1">
      <alignment horizontal="center" vertical="center" wrapText="1"/>
    </xf>
    <xf numFmtId="165" fontId="12" fillId="2" borderId="15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5" fontId="11" fillId="0" borderId="0" xfId="1" applyNumberFormat="1" applyFont="1" applyAlignment="1">
      <alignment horizontal="center"/>
    </xf>
    <xf numFmtId="0" fontId="23" fillId="0" borderId="2" xfId="0" applyFont="1" applyFill="1" applyBorder="1" applyAlignment="1">
      <alignment horizontal="center" vertical="top"/>
    </xf>
    <xf numFmtId="0" fontId="23" fillId="0" borderId="3" xfId="0" applyFont="1" applyFill="1" applyBorder="1" applyAlignment="1">
      <alignment horizontal="center" vertical="top"/>
    </xf>
    <xf numFmtId="0" fontId="17" fillId="0" borderId="2" xfId="3" applyFont="1" applyFill="1" applyBorder="1" applyAlignment="1">
      <alignment horizontal="center" vertical="center"/>
    </xf>
    <xf numFmtId="0" fontId="17" fillId="0" borderId="3" xfId="3" applyFont="1" applyFill="1" applyBorder="1" applyAlignment="1">
      <alignment horizontal="center" vertical="center"/>
    </xf>
    <xf numFmtId="165" fontId="17" fillId="0" borderId="2" xfId="1" applyNumberFormat="1" applyFont="1" applyFill="1" applyBorder="1" applyAlignment="1">
      <alignment horizontal="center" vertical="center"/>
    </xf>
    <xf numFmtId="165" fontId="17" fillId="0" borderId="3" xfId="1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9" fontId="17" fillId="2" borderId="2" xfId="2" applyFont="1" applyFill="1" applyBorder="1" applyAlignment="1">
      <alignment horizontal="center" vertical="center" wrapText="1"/>
    </xf>
    <xf numFmtId="9" fontId="17" fillId="2" borderId="3" xfId="2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5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0"/>
  <sheetViews>
    <sheetView workbookViewId="0">
      <selection activeCell="I12" sqref="I12"/>
    </sheetView>
  </sheetViews>
  <sheetFormatPr defaultRowHeight="15.75"/>
  <cols>
    <col min="1" max="1" width="7.25" customWidth="1"/>
    <col min="2" max="2" width="54.75" customWidth="1"/>
    <col min="3" max="3" width="22.5" style="108" customWidth="1"/>
    <col min="4" max="4" width="21" style="108" customWidth="1"/>
    <col min="5" max="5" width="9.5" style="65" customWidth="1"/>
    <col min="6" max="6" width="21.25" customWidth="1"/>
    <col min="7" max="7" width="7.375" customWidth="1"/>
    <col min="8" max="8" width="20" customWidth="1"/>
  </cols>
  <sheetData>
    <row r="1" spans="1:10" ht="16.5" customHeight="1">
      <c r="A1" s="224" t="s">
        <v>28</v>
      </c>
      <c r="B1" s="224"/>
      <c r="C1" s="225" t="s">
        <v>12</v>
      </c>
      <c r="D1" s="225"/>
      <c r="E1" s="225"/>
    </row>
    <row r="2" spans="1:10">
      <c r="A2" s="226" t="s">
        <v>29</v>
      </c>
      <c r="B2" s="226"/>
      <c r="C2" s="225" t="s">
        <v>13</v>
      </c>
      <c r="D2" s="225"/>
      <c r="E2" s="225"/>
    </row>
    <row r="3" spans="1:10" ht="19.5" customHeight="1">
      <c r="A3" s="7"/>
      <c r="B3" s="7"/>
    </row>
    <row r="4" spans="1:10" ht="20.25" customHeight="1"/>
    <row r="5" spans="1:10" ht="21.75" customHeight="1">
      <c r="A5" s="223" t="s">
        <v>14</v>
      </c>
      <c r="B5" s="223"/>
      <c r="C5" s="223"/>
      <c r="D5" s="223"/>
      <c r="E5" s="223"/>
      <c r="F5" s="223"/>
      <c r="G5" s="1"/>
      <c r="H5" s="1"/>
      <c r="I5" s="1"/>
      <c r="J5" s="1"/>
    </row>
    <row r="6" spans="1:10" ht="21" customHeight="1">
      <c r="A6" s="223" t="s">
        <v>170</v>
      </c>
      <c r="B6" s="223"/>
      <c r="C6" s="223"/>
      <c r="D6" s="223"/>
      <c r="E6" s="223"/>
      <c r="F6" s="223"/>
    </row>
    <row r="7" spans="1:10" ht="15" customHeight="1">
      <c r="F7" s="67"/>
    </row>
    <row r="9" spans="1:10" s="2" customFormat="1" ht="32.25" customHeight="1">
      <c r="A9" s="227" t="s">
        <v>0</v>
      </c>
      <c r="B9" s="227" t="s">
        <v>3</v>
      </c>
      <c r="C9" s="229" t="s">
        <v>149</v>
      </c>
      <c r="D9" s="229" t="s">
        <v>171</v>
      </c>
      <c r="E9" s="221" t="s">
        <v>119</v>
      </c>
      <c r="F9" s="221" t="s">
        <v>172</v>
      </c>
      <c r="G9" s="221" t="s">
        <v>119</v>
      </c>
    </row>
    <row r="10" spans="1:10" s="2" customFormat="1" ht="60" customHeight="1">
      <c r="A10" s="228"/>
      <c r="B10" s="228"/>
      <c r="C10" s="230"/>
      <c r="D10" s="231"/>
      <c r="E10" s="222"/>
      <c r="F10" s="222"/>
      <c r="G10" s="222"/>
    </row>
    <row r="11" spans="1:10" s="2" customFormat="1" ht="23.25" customHeight="1">
      <c r="A11" s="68" t="s">
        <v>1</v>
      </c>
      <c r="B11" s="68" t="s">
        <v>2</v>
      </c>
      <c r="C11" s="8">
        <v>1</v>
      </c>
      <c r="D11" s="8">
        <v>2</v>
      </c>
      <c r="E11" s="13" t="s">
        <v>4</v>
      </c>
      <c r="F11" s="209">
        <v>4</v>
      </c>
      <c r="G11" s="210" t="s">
        <v>173</v>
      </c>
    </row>
    <row r="12" spans="1:10" s="2" customFormat="1" ht="23.25">
      <c r="A12" s="69" t="s">
        <v>1</v>
      </c>
      <c r="B12" s="70" t="s">
        <v>42</v>
      </c>
      <c r="C12" s="109">
        <f>C13+C18+C19</f>
        <v>3250529000000</v>
      </c>
      <c r="D12" s="109">
        <f>D13+D18+D19+D20</f>
        <v>824235321165</v>
      </c>
      <c r="E12" s="92">
        <f>D12/C12*100%</f>
        <v>0.2535695947228897</v>
      </c>
      <c r="F12" s="211">
        <f>F13+F18+F19</f>
        <v>2690099951887</v>
      </c>
      <c r="G12" s="212">
        <f>F12/C12</f>
        <v>0.82758835619894489</v>
      </c>
    </row>
    <row r="13" spans="1:10" s="2" customFormat="1" ht="20.25">
      <c r="A13" s="71" t="s">
        <v>5</v>
      </c>
      <c r="B13" s="72" t="s">
        <v>34</v>
      </c>
      <c r="C13" s="110">
        <f>SUM(C15:C16)</f>
        <v>1864000000000</v>
      </c>
      <c r="D13" s="110">
        <f>SUM(D15:D16)</f>
        <v>560189321165</v>
      </c>
      <c r="E13" s="9">
        <f t="shared" ref="E13:E32" si="0">D13/C13*100%</f>
        <v>0.3005307516979614</v>
      </c>
      <c r="F13" s="213">
        <f>SUM(F15:F16)</f>
        <v>1643441951887</v>
      </c>
      <c r="G13" s="219">
        <f t="shared" ref="G13:G35" si="1">F13/C13</f>
        <v>0.88167486689216734</v>
      </c>
    </row>
    <row r="14" spans="1:10" s="2" customFormat="1" ht="20.25">
      <c r="A14" s="73"/>
      <c r="B14" s="74" t="s">
        <v>47</v>
      </c>
      <c r="C14" s="111">
        <f>C15-270000000000</f>
        <v>1594000000000</v>
      </c>
      <c r="D14" s="111">
        <f>D15-93684988663</f>
        <v>466504332502</v>
      </c>
      <c r="E14" s="9">
        <f t="shared" si="0"/>
        <v>0.29266269291217062</v>
      </c>
      <c r="F14" s="214">
        <f>F15-231142335524</f>
        <v>1412299616363</v>
      </c>
      <c r="G14" s="219">
        <f t="shared" si="1"/>
        <v>0.88600979696549564</v>
      </c>
    </row>
    <row r="15" spans="1:10" s="2" customFormat="1" ht="20.25">
      <c r="A15" s="75">
        <v>1</v>
      </c>
      <c r="B15" s="76" t="s">
        <v>35</v>
      </c>
      <c r="C15" s="112">
        <v>1864000000000</v>
      </c>
      <c r="D15" s="111">
        <v>560189321165</v>
      </c>
      <c r="E15" s="9">
        <f t="shared" si="0"/>
        <v>0.3005307516979614</v>
      </c>
      <c r="F15" s="214">
        <f>1643441951887</f>
        <v>1643441951887</v>
      </c>
      <c r="G15" s="219">
        <f t="shared" si="1"/>
        <v>0.88167486689216734</v>
      </c>
    </row>
    <row r="16" spans="1:10" s="2" customFormat="1" ht="20.25">
      <c r="A16" s="77">
        <v>2</v>
      </c>
      <c r="B16" s="78" t="s">
        <v>17</v>
      </c>
      <c r="C16" s="10">
        <v>0</v>
      </c>
      <c r="D16" s="113"/>
      <c r="E16" s="9"/>
      <c r="F16" s="215"/>
      <c r="G16" s="219"/>
    </row>
    <row r="17" spans="1:8" s="2" customFormat="1" ht="20.25">
      <c r="A17" s="79">
        <v>3</v>
      </c>
      <c r="B17" s="78" t="s">
        <v>27</v>
      </c>
      <c r="C17" s="10">
        <v>0</v>
      </c>
      <c r="D17" s="10"/>
      <c r="E17" s="9"/>
      <c r="F17" s="216"/>
      <c r="G17" s="219"/>
    </row>
    <row r="18" spans="1:8" s="2" customFormat="1" ht="20.25">
      <c r="A18" s="79">
        <v>4</v>
      </c>
      <c r="B18" s="78" t="s">
        <v>22</v>
      </c>
      <c r="C18" s="10">
        <f>1139042000000+89474000000</f>
        <v>1228516000000</v>
      </c>
      <c r="D18" s="10">
        <v>264046000000</v>
      </c>
      <c r="E18" s="9">
        <f t="shared" si="0"/>
        <v>0.21493085967134332</v>
      </c>
      <c r="F18" s="216">
        <v>966658000000</v>
      </c>
      <c r="G18" s="219">
        <f t="shared" si="1"/>
        <v>0.78685015091378541</v>
      </c>
    </row>
    <row r="19" spans="1:8" s="2" customFormat="1" ht="20.25">
      <c r="A19" s="79">
        <v>5</v>
      </c>
      <c r="B19" s="78" t="s">
        <v>37</v>
      </c>
      <c r="C19" s="10">
        <v>158013000000</v>
      </c>
      <c r="D19" s="10">
        <v>0</v>
      </c>
      <c r="E19" s="9">
        <v>0</v>
      </c>
      <c r="F19" s="216">
        <v>80000000000</v>
      </c>
      <c r="G19" s="219"/>
    </row>
    <row r="20" spans="1:8" s="2" customFormat="1" ht="20.25">
      <c r="A20" s="80" t="s">
        <v>8</v>
      </c>
      <c r="B20" s="72" t="s">
        <v>39</v>
      </c>
      <c r="C20" s="10"/>
      <c r="D20" s="10">
        <v>0</v>
      </c>
      <c r="E20" s="9"/>
      <c r="F20" s="216"/>
      <c r="G20" s="219"/>
    </row>
    <row r="21" spans="1:8" s="2" customFormat="1" ht="23.25">
      <c r="A21" s="69" t="s">
        <v>2</v>
      </c>
      <c r="B21" s="70" t="s">
        <v>40</v>
      </c>
      <c r="C21" s="114">
        <f>C22+C38</f>
        <v>3470551000000</v>
      </c>
      <c r="D21" s="114">
        <f>D22+D38+D39</f>
        <v>865806374888</v>
      </c>
      <c r="E21" s="122">
        <f t="shared" si="0"/>
        <v>0.24947230998420711</v>
      </c>
      <c r="F21" s="114">
        <f>F22+F38+F39</f>
        <v>1933057050106</v>
      </c>
      <c r="G21" s="220">
        <f t="shared" si="1"/>
        <v>0.55698851568699037</v>
      </c>
      <c r="H21" s="14">
        <f>865806374888-D21</f>
        <v>0</v>
      </c>
    </row>
    <row r="22" spans="1:8" s="2" customFormat="1" ht="20.25">
      <c r="A22" s="81" t="s">
        <v>5</v>
      </c>
      <c r="B22" s="82" t="s">
        <v>18</v>
      </c>
      <c r="C22" s="115">
        <f>C23+C30+C33+C36+C37</f>
        <v>3470551000000</v>
      </c>
      <c r="D22" s="115">
        <f>D23+D30+D33+D36+D37</f>
        <v>816894895932</v>
      </c>
      <c r="E22" s="94">
        <f t="shared" si="0"/>
        <v>0.23537902077566358</v>
      </c>
      <c r="F22" s="115">
        <f>F23+F30+F33+F36+F37</f>
        <v>1844762621903</v>
      </c>
      <c r="G22" s="219">
        <f t="shared" si="1"/>
        <v>0.53154747528648905</v>
      </c>
    </row>
    <row r="23" spans="1:8" s="2" customFormat="1" ht="20.25">
      <c r="A23" s="69">
        <v>1</v>
      </c>
      <c r="B23" s="70" t="s">
        <v>6</v>
      </c>
      <c r="C23" s="116">
        <f>C24+C29</f>
        <v>732018000000</v>
      </c>
      <c r="D23" s="116">
        <f>D24+D29</f>
        <v>240444187914</v>
      </c>
      <c r="E23" s="12">
        <v>0.02</v>
      </c>
      <c r="F23" s="116">
        <f>F24+F29</f>
        <v>345694234666</v>
      </c>
      <c r="G23" s="219">
        <f t="shared" si="1"/>
        <v>0.47224827076110149</v>
      </c>
    </row>
    <row r="24" spans="1:8" s="2" customFormat="1" ht="21" customHeight="1">
      <c r="A24" s="69" t="s">
        <v>15</v>
      </c>
      <c r="B24" s="70" t="s">
        <v>44</v>
      </c>
      <c r="C24" s="116">
        <f>SUM(C25:C28)</f>
        <v>722630000000</v>
      </c>
      <c r="D24" s="116">
        <f>SUM(D25:D28)</f>
        <v>237072324320</v>
      </c>
      <c r="E24" s="12">
        <v>0.02</v>
      </c>
      <c r="F24" s="116">
        <f>SUM(F25:F28)</f>
        <v>337955324320</v>
      </c>
      <c r="G24" s="219">
        <f t="shared" si="1"/>
        <v>0.46767408538256094</v>
      </c>
    </row>
    <row r="25" spans="1:8" s="2" customFormat="1" ht="20.25">
      <c r="A25" s="75" t="s">
        <v>43</v>
      </c>
      <c r="B25" s="76" t="s">
        <v>30</v>
      </c>
      <c r="C25" s="112">
        <v>239257000000</v>
      </c>
      <c r="D25" s="112">
        <v>54187000000</v>
      </c>
      <c r="E25" s="95">
        <f t="shared" si="0"/>
        <v>0.2264803119657941</v>
      </c>
      <c r="F25" s="218">
        <v>73203000000</v>
      </c>
      <c r="G25" s="219">
        <f t="shared" si="1"/>
        <v>0.30595970023865549</v>
      </c>
    </row>
    <row r="26" spans="1:8" s="2" customFormat="1" ht="20.25">
      <c r="A26" s="77" t="s">
        <v>43</v>
      </c>
      <c r="B26" s="83" t="s">
        <v>31</v>
      </c>
      <c r="C26" s="112">
        <v>260612000000</v>
      </c>
      <c r="D26" s="112">
        <v>26719000000</v>
      </c>
      <c r="E26" s="96">
        <f t="shared" si="0"/>
        <v>0.10252405875400979</v>
      </c>
      <c r="F26" s="218">
        <v>67170000000</v>
      </c>
      <c r="G26" s="219">
        <f t="shared" si="1"/>
        <v>0.25773947477476095</v>
      </c>
    </row>
    <row r="27" spans="1:8" s="2" customFormat="1" ht="20.25">
      <c r="A27" s="77" t="s">
        <v>43</v>
      </c>
      <c r="B27" s="83" t="s">
        <v>32</v>
      </c>
      <c r="C27" s="112">
        <v>91610000000</v>
      </c>
      <c r="D27" s="112">
        <v>25969000000</v>
      </c>
      <c r="E27" s="96">
        <f t="shared" si="0"/>
        <v>0.28347341993232178</v>
      </c>
      <c r="F27" s="218">
        <v>57385000000</v>
      </c>
      <c r="G27" s="219">
        <f t="shared" si="1"/>
        <v>0.62640541425608554</v>
      </c>
    </row>
    <row r="28" spans="1:8" s="2" customFormat="1" ht="20.25">
      <c r="A28" s="84" t="s">
        <v>43</v>
      </c>
      <c r="B28" s="78" t="s">
        <v>38</v>
      </c>
      <c r="C28" s="10">
        <v>131151000000</v>
      </c>
      <c r="D28" s="10">
        <v>130197324320</v>
      </c>
      <c r="E28" s="96">
        <f t="shared" si="0"/>
        <v>0.9927284147280615</v>
      </c>
      <c r="F28" s="216">
        <v>140197324320</v>
      </c>
      <c r="G28" s="219">
        <f t="shared" si="1"/>
        <v>1.0689764036873528</v>
      </c>
    </row>
    <row r="29" spans="1:8" s="2" customFormat="1" ht="21" customHeight="1">
      <c r="A29" s="69" t="s">
        <v>16</v>
      </c>
      <c r="B29" s="70" t="s">
        <v>45</v>
      </c>
      <c r="C29" s="116">
        <v>9388000000</v>
      </c>
      <c r="D29" s="116">
        <v>3371863594</v>
      </c>
      <c r="E29" s="12"/>
      <c r="F29" s="217">
        <v>7738910346</v>
      </c>
      <c r="G29" s="219">
        <f t="shared" si="1"/>
        <v>0.82434068449083941</v>
      </c>
    </row>
    <row r="30" spans="1:8" s="2" customFormat="1" ht="20.25">
      <c r="A30" s="69">
        <v>2</v>
      </c>
      <c r="B30" s="70" t="s">
        <v>19</v>
      </c>
      <c r="C30" s="116">
        <f>C31+C32</f>
        <v>2675233000000</v>
      </c>
      <c r="D30" s="116">
        <f>D31+D32</f>
        <v>576450708018</v>
      </c>
      <c r="E30" s="93">
        <f t="shared" si="0"/>
        <v>0.21547682314699318</v>
      </c>
      <c r="F30" s="217">
        <f>F31+F32</f>
        <v>1499068387237</v>
      </c>
      <c r="G30" s="219">
        <f t="shared" si="1"/>
        <v>0.56035058899056644</v>
      </c>
      <c r="H30" s="14"/>
    </row>
    <row r="31" spans="1:8" s="2" customFormat="1" ht="20.25">
      <c r="A31" s="85"/>
      <c r="B31" s="76" t="s">
        <v>20</v>
      </c>
      <c r="C31" s="112">
        <v>2337353000000</v>
      </c>
      <c r="D31" s="112">
        <v>497834675328</v>
      </c>
      <c r="E31" s="95">
        <f t="shared" si="0"/>
        <v>0.21299079571121693</v>
      </c>
      <c r="F31" s="218">
        <v>1290586342447</v>
      </c>
      <c r="G31" s="219">
        <f t="shared" si="1"/>
        <v>0.55215722334067641</v>
      </c>
    </row>
    <row r="32" spans="1:8" s="2" customFormat="1" ht="20.25">
      <c r="A32" s="80"/>
      <c r="B32" s="78" t="s">
        <v>26</v>
      </c>
      <c r="C32" s="10">
        <v>337880000000</v>
      </c>
      <c r="D32" s="112">
        <v>78616032690</v>
      </c>
      <c r="E32" s="9">
        <f t="shared" si="0"/>
        <v>0.23267441899490943</v>
      </c>
      <c r="F32" s="218">
        <v>208482044790</v>
      </c>
      <c r="G32" s="219">
        <f t="shared" si="1"/>
        <v>0.61702984725346277</v>
      </c>
    </row>
    <row r="33" spans="1:7" s="2" customFormat="1" ht="20.25">
      <c r="A33" s="69">
        <v>3</v>
      </c>
      <c r="B33" s="70" t="s">
        <v>7</v>
      </c>
      <c r="C33" s="116">
        <f>C34+C35</f>
        <v>63300000000</v>
      </c>
      <c r="D33" s="11">
        <v>0</v>
      </c>
      <c r="E33" s="11"/>
      <c r="F33" s="214">
        <v>0</v>
      </c>
      <c r="G33" s="219">
        <f t="shared" si="1"/>
        <v>0</v>
      </c>
    </row>
    <row r="34" spans="1:7" s="2" customFormat="1" ht="20.25">
      <c r="A34" s="85"/>
      <c r="B34" s="86" t="s">
        <v>20</v>
      </c>
      <c r="C34" s="112">
        <v>57105000000</v>
      </c>
      <c r="D34" s="112"/>
      <c r="E34" s="9"/>
      <c r="F34" s="218"/>
      <c r="G34" s="219">
        <f t="shared" si="1"/>
        <v>0</v>
      </c>
    </row>
    <row r="35" spans="1:7" s="2" customFormat="1" ht="20.25">
      <c r="A35" s="80"/>
      <c r="B35" s="78" t="s">
        <v>26</v>
      </c>
      <c r="C35" s="10">
        <v>6195000000</v>
      </c>
      <c r="D35" s="10"/>
      <c r="E35" s="9"/>
      <c r="F35" s="216"/>
      <c r="G35" s="219">
        <f t="shared" si="1"/>
        <v>0</v>
      </c>
    </row>
    <row r="36" spans="1:7" s="2" customFormat="1" ht="20.25">
      <c r="A36" s="69">
        <v>4</v>
      </c>
      <c r="B36" s="70" t="s">
        <v>33</v>
      </c>
      <c r="C36" s="116">
        <v>0</v>
      </c>
      <c r="D36" s="11"/>
      <c r="E36" s="12"/>
      <c r="F36" s="214"/>
      <c r="G36" s="219"/>
    </row>
    <row r="37" spans="1:7" s="2" customFormat="1" ht="20.25">
      <c r="A37" s="69">
        <v>5</v>
      </c>
      <c r="B37" s="70" t="s">
        <v>174</v>
      </c>
      <c r="C37" s="116"/>
      <c r="D37" s="11"/>
      <c r="E37" s="9"/>
      <c r="F37" s="214"/>
      <c r="G37" s="219"/>
    </row>
    <row r="38" spans="1:7" s="2" customFormat="1" ht="20.25">
      <c r="A38" s="3" t="s">
        <v>8</v>
      </c>
      <c r="B38" s="70" t="s">
        <v>49</v>
      </c>
      <c r="C38" s="116"/>
      <c r="D38" s="11">
        <v>48855098956</v>
      </c>
      <c r="E38" s="191">
        <f>D38/28238669484</f>
        <v>1.7300779338658732</v>
      </c>
      <c r="F38" s="214">
        <v>80045772000</v>
      </c>
      <c r="G38" s="219"/>
    </row>
    <row r="39" spans="1:7" s="2" customFormat="1" ht="20.25">
      <c r="A39" s="3" t="s">
        <v>9</v>
      </c>
      <c r="B39" s="118" t="s">
        <v>48</v>
      </c>
      <c r="C39" s="117"/>
      <c r="D39" s="11">
        <v>56380000</v>
      </c>
      <c r="E39" s="192"/>
      <c r="F39" s="214">
        <v>8248656203</v>
      </c>
      <c r="G39" s="219"/>
    </row>
    <row r="40" spans="1:7" ht="18.75" hidden="1" customHeight="1">
      <c r="A40" s="3" t="s">
        <v>11</v>
      </c>
      <c r="B40" s="6" t="s">
        <v>41</v>
      </c>
      <c r="C40" s="117"/>
      <c r="D40" s="11">
        <v>0</v>
      </c>
      <c r="E40" s="4"/>
    </row>
  </sheetData>
  <mergeCells count="13">
    <mergeCell ref="A1:B1"/>
    <mergeCell ref="C1:E1"/>
    <mergeCell ref="A2:B2"/>
    <mergeCell ref="C2:E2"/>
    <mergeCell ref="A9:A10"/>
    <mergeCell ref="B9:B10"/>
    <mergeCell ref="C9:C10"/>
    <mergeCell ref="D9:D10"/>
    <mergeCell ref="F9:F10"/>
    <mergeCell ref="G9:G10"/>
    <mergeCell ref="A5:F5"/>
    <mergeCell ref="A6:F6"/>
    <mergeCell ref="E9:E10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97"/>
  <sheetViews>
    <sheetView topLeftCell="A31" workbookViewId="0">
      <selection activeCell="K13" sqref="K13"/>
    </sheetView>
  </sheetViews>
  <sheetFormatPr defaultColWidth="9" defaultRowHeight="15.75"/>
  <cols>
    <col min="1" max="1" width="5.875" style="15" customWidth="1"/>
    <col min="2" max="2" width="41.125" style="15" customWidth="1"/>
    <col min="3" max="3" width="17" style="16" customWidth="1"/>
    <col min="4" max="4" width="18.875" style="16" customWidth="1"/>
    <col min="5" max="5" width="18.375" style="16" customWidth="1"/>
    <col min="6" max="6" width="16.625" style="16" customWidth="1"/>
    <col min="7" max="7" width="9.25" style="16" customWidth="1"/>
    <col min="8" max="9" width="6.875" style="16" customWidth="1"/>
    <col min="10" max="10" width="18.875" style="16" customWidth="1"/>
    <col min="11" max="11" width="17.625" style="16" customWidth="1"/>
    <col min="12" max="12" width="8.125" style="15" customWidth="1"/>
    <col min="13" max="13" width="7.5" style="15" customWidth="1"/>
    <col min="14" max="14" width="7" style="15" customWidth="1"/>
    <col min="15" max="15" width="18.75" style="15" customWidth="1"/>
    <col min="16" max="16" width="12.125" style="15" bestFit="1" customWidth="1"/>
    <col min="17" max="16384" width="9" style="15"/>
  </cols>
  <sheetData>
    <row r="1" spans="1:16">
      <c r="A1" s="242" t="s">
        <v>28</v>
      </c>
      <c r="B1" s="242"/>
      <c r="C1" s="233" t="s">
        <v>12</v>
      </c>
      <c r="D1" s="233"/>
      <c r="E1" s="233"/>
      <c r="F1" s="233"/>
      <c r="G1" s="233"/>
      <c r="H1" s="233"/>
      <c r="I1" s="233"/>
      <c r="J1" s="233"/>
      <c r="K1" s="233"/>
      <c r="L1" s="233"/>
    </row>
    <row r="2" spans="1:16">
      <c r="A2" s="243" t="s">
        <v>29</v>
      </c>
      <c r="B2" s="243"/>
      <c r="C2" s="233" t="s">
        <v>50</v>
      </c>
      <c r="D2" s="233"/>
      <c r="E2" s="233"/>
      <c r="F2" s="233"/>
      <c r="G2" s="233"/>
      <c r="H2" s="233"/>
      <c r="I2" s="233"/>
      <c r="J2" s="233"/>
      <c r="K2" s="233"/>
      <c r="L2" s="233"/>
    </row>
    <row r="3" spans="1:16">
      <c r="A3" s="243"/>
      <c r="B3" s="243"/>
    </row>
    <row r="4" spans="1:16" ht="27" customHeight="1">
      <c r="A4" s="99"/>
      <c r="B4" s="233" t="s">
        <v>165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</row>
    <row r="5" spans="1:16">
      <c r="L5" s="97"/>
    </row>
    <row r="6" spans="1:16" ht="48" customHeight="1">
      <c r="A6" s="234" t="s">
        <v>0</v>
      </c>
      <c r="B6" s="234" t="s">
        <v>3</v>
      </c>
      <c r="C6" s="235" t="s">
        <v>149</v>
      </c>
      <c r="D6" s="235"/>
      <c r="E6" s="239" t="s">
        <v>150</v>
      </c>
      <c r="F6" s="240"/>
      <c r="G6" s="240"/>
      <c r="H6" s="240"/>
      <c r="I6" s="240"/>
      <c r="J6" s="240"/>
      <c r="K6" s="241"/>
      <c r="L6" s="236" t="s">
        <v>120</v>
      </c>
      <c r="M6" s="237"/>
      <c r="N6" s="238"/>
    </row>
    <row r="7" spans="1:16" ht="120" customHeight="1">
      <c r="A7" s="234"/>
      <c r="B7" s="234"/>
      <c r="C7" s="89" t="s">
        <v>51</v>
      </c>
      <c r="D7" s="199" t="s">
        <v>52</v>
      </c>
      <c r="E7" s="199" t="s">
        <v>161</v>
      </c>
      <c r="F7" s="199" t="s">
        <v>162</v>
      </c>
      <c r="G7" s="198" t="s">
        <v>151</v>
      </c>
      <c r="H7" s="198" t="s">
        <v>152</v>
      </c>
      <c r="I7" s="206" t="s">
        <v>121</v>
      </c>
      <c r="J7" s="90" t="s">
        <v>163</v>
      </c>
      <c r="K7" s="90" t="s">
        <v>164</v>
      </c>
      <c r="L7" s="198" t="s">
        <v>151</v>
      </c>
      <c r="M7" s="198" t="s">
        <v>152</v>
      </c>
      <c r="N7" s="205" t="s">
        <v>121</v>
      </c>
    </row>
    <row r="8" spans="1:16">
      <c r="A8" s="17"/>
      <c r="B8" s="17"/>
      <c r="C8" s="18">
        <v>1</v>
      </c>
      <c r="D8" s="18">
        <v>2</v>
      </c>
      <c r="E8" s="18">
        <v>4</v>
      </c>
      <c r="F8" s="18">
        <v>5</v>
      </c>
      <c r="G8" s="18" t="s">
        <v>153</v>
      </c>
      <c r="H8" s="18" t="s">
        <v>154</v>
      </c>
      <c r="I8" s="18"/>
      <c r="J8" s="18">
        <v>8</v>
      </c>
      <c r="K8" s="18">
        <v>9</v>
      </c>
      <c r="L8" s="17" t="s">
        <v>155</v>
      </c>
      <c r="M8" s="17" t="s">
        <v>156</v>
      </c>
      <c r="N8" s="17">
        <v>10</v>
      </c>
      <c r="O8" s="16"/>
      <c r="P8" s="202"/>
    </row>
    <row r="9" spans="1:16" ht="48" hidden="1" customHeight="1">
      <c r="A9" s="88"/>
      <c r="B9" s="88" t="s">
        <v>122</v>
      </c>
      <c r="C9" s="90">
        <f>C11+C37+C38+C44+C45+C46+C47</f>
        <v>4352516000000</v>
      </c>
      <c r="D9" s="90">
        <f t="shared" ref="D9:J9" si="0">D11+D37+D38+D44+D45+D46+D47</f>
        <v>3250529000000</v>
      </c>
      <c r="E9" s="90">
        <f t="shared" si="0"/>
        <v>1181890414253</v>
      </c>
      <c r="F9" s="90">
        <f t="shared" si="0"/>
        <v>824235321165.19995</v>
      </c>
      <c r="G9" s="123">
        <f>E9/C9*100%</f>
        <v>0.27154188847393096</v>
      </c>
      <c r="H9" s="123">
        <f>F9/D9*100%</f>
        <v>0.25356959472295121</v>
      </c>
      <c r="I9" s="123"/>
      <c r="J9" s="90">
        <f t="shared" si="0"/>
        <v>3716145302289</v>
      </c>
      <c r="K9" s="90">
        <f t="shared" ref="K9" si="1">K11+K37+K38+K44+K45+K46+K47</f>
        <v>2690099951887</v>
      </c>
      <c r="L9" s="19">
        <f t="shared" ref="L9:M15" si="2">J9/C9*100%</f>
        <v>0.85379245068576426</v>
      </c>
      <c r="M9" s="19">
        <f t="shared" si="2"/>
        <v>0.82758835619894489</v>
      </c>
      <c r="N9" s="19"/>
    </row>
    <row r="10" spans="1:16" ht="48" customHeight="1">
      <c r="A10" s="88" t="s">
        <v>1</v>
      </c>
      <c r="B10" s="88" t="s">
        <v>123</v>
      </c>
      <c r="C10" s="203">
        <f>C11+C37+C38</f>
        <v>4352516000000</v>
      </c>
      <c r="D10" s="90">
        <f>D11+D37+D38+D47</f>
        <v>3250529000000</v>
      </c>
      <c r="E10" s="90">
        <f>E11+E38+E45</f>
        <v>1181890414253</v>
      </c>
      <c r="F10" s="90">
        <f>F11+F38+F45+F47</f>
        <v>824235321165.19995</v>
      </c>
      <c r="G10" s="123">
        <f t="shared" ref="G10:G41" si="3">E10/C10*100%</f>
        <v>0.27154188847393096</v>
      </c>
      <c r="H10" s="123">
        <f t="shared" ref="H10:H41" si="4">F10/D10*100%</f>
        <v>0.25356959472295121</v>
      </c>
      <c r="I10" s="204">
        <f>F10/995434749771</f>
        <v>0.8280154187452422</v>
      </c>
      <c r="J10" s="203">
        <f>J11+J37+J38+J45</f>
        <v>3716145302289</v>
      </c>
      <c r="K10" s="203">
        <f>K11+K37+K38+K45+K47</f>
        <v>2690099951887</v>
      </c>
      <c r="L10" s="19">
        <f t="shared" si="2"/>
        <v>0.85379245068576426</v>
      </c>
      <c r="M10" s="19">
        <f t="shared" si="2"/>
        <v>0.82758835619894489</v>
      </c>
      <c r="N10" s="19">
        <f>J10/3016068790585</f>
        <v>1.2321155650989686</v>
      </c>
      <c r="O10" s="28"/>
    </row>
    <row r="11" spans="1:16" ht="27.75" customHeight="1">
      <c r="A11" s="88" t="s">
        <v>5</v>
      </c>
      <c r="B11" s="20" t="s">
        <v>124</v>
      </c>
      <c r="C11" s="89">
        <f t="shared" ref="C11:J11" si="5">C12+C18+C20+C22+C23+C24+C26+C28+C32+C34+C29+C31+C36</f>
        <v>3124000000000</v>
      </c>
      <c r="D11" s="199">
        <f t="shared" si="5"/>
        <v>1864000000000</v>
      </c>
      <c r="E11" s="199">
        <f t="shared" si="5"/>
        <v>917844414253</v>
      </c>
      <c r="F11" s="199">
        <f t="shared" si="5"/>
        <v>560189321165.19995</v>
      </c>
      <c r="G11" s="123">
        <f t="shared" si="3"/>
        <v>0.29380422991453264</v>
      </c>
      <c r="H11" s="123">
        <f t="shared" si="4"/>
        <v>0.30053075169806864</v>
      </c>
      <c r="I11" s="123">
        <f>F11/791195749771</f>
        <v>0.70802872908169501</v>
      </c>
      <c r="J11" s="199">
        <f t="shared" si="5"/>
        <v>2749487302289</v>
      </c>
      <c r="K11" s="199">
        <f t="shared" ref="K11" si="6">K12+K18+K20+K22+K23+K24+K26+K28+K32+K34+K29+K31+K36</f>
        <v>1643441951887</v>
      </c>
      <c r="L11" s="19">
        <f t="shared" si="2"/>
        <v>0.88011757435627402</v>
      </c>
      <c r="M11" s="19">
        <f t="shared" si="2"/>
        <v>0.88167486689216734</v>
      </c>
      <c r="N11" s="19">
        <f>J11/2361544790585</f>
        <v>1.1642748904236955</v>
      </c>
      <c r="O11" s="28"/>
    </row>
    <row r="12" spans="1:16">
      <c r="A12" s="88">
        <v>1</v>
      </c>
      <c r="B12" s="20" t="s">
        <v>53</v>
      </c>
      <c r="C12" s="89">
        <f>SUM(C13:C17)</f>
        <v>1700000000000</v>
      </c>
      <c r="D12" s="199">
        <f t="shared" ref="D12:J12" si="7">SUM(D13:D17)</f>
        <v>860000000000</v>
      </c>
      <c r="E12" s="199">
        <f t="shared" si="7"/>
        <v>478651874865</v>
      </c>
      <c r="F12" s="199">
        <f t="shared" si="7"/>
        <v>242283798376</v>
      </c>
      <c r="G12" s="123">
        <f t="shared" si="3"/>
        <v>0.2815599263911765</v>
      </c>
      <c r="H12" s="123">
        <f t="shared" si="4"/>
        <v>0.28172534694883722</v>
      </c>
      <c r="I12" s="123">
        <f>F12/454103396099</f>
        <v>0.53354324248035179</v>
      </c>
      <c r="J12" s="199">
        <f t="shared" si="7"/>
        <v>1486528731477</v>
      </c>
      <c r="K12" s="199">
        <f t="shared" ref="K12" si="8">SUM(K13:K17)</f>
        <v>750645430948</v>
      </c>
      <c r="L12" s="19">
        <f t="shared" si="2"/>
        <v>0.87442866557470589</v>
      </c>
      <c r="M12" s="19">
        <f t="shared" si="2"/>
        <v>0.8728435243581395</v>
      </c>
      <c r="N12" s="19">
        <f>J12/1191198807291</f>
        <v>1.2479266453075397</v>
      </c>
      <c r="O12" s="28"/>
    </row>
    <row r="13" spans="1:16">
      <c r="A13" s="17"/>
      <c r="B13" s="23" t="s">
        <v>125</v>
      </c>
      <c r="C13" s="18">
        <v>1292800000000</v>
      </c>
      <c r="D13" s="18">
        <f>C13*50%</f>
        <v>646400000000</v>
      </c>
      <c r="E13" s="18">
        <f>1180689635574-781998162580</f>
        <v>398691472994</v>
      </c>
      <c r="F13" s="18">
        <f>E13*50%</f>
        <v>199345736497</v>
      </c>
      <c r="G13" s="123">
        <f t="shared" si="3"/>
        <v>0.308393775521349</v>
      </c>
      <c r="H13" s="123">
        <f t="shared" si="4"/>
        <v>0.308393775521349</v>
      </c>
      <c r="I13" s="123">
        <f>F13/334749330431</f>
        <v>0.59550749882109177</v>
      </c>
      <c r="J13" s="18">
        <v>1180689635574</v>
      </c>
      <c r="K13" s="18">
        <v>590344825049</v>
      </c>
      <c r="L13" s="19">
        <f t="shared" si="2"/>
        <v>0.91328096811107673</v>
      </c>
      <c r="M13" s="19">
        <f t="shared" si="2"/>
        <v>0.91328097934560648</v>
      </c>
      <c r="N13" s="19">
        <f>J13/887880877199</f>
        <v>1.3297838323748163</v>
      </c>
      <c r="O13" s="200"/>
    </row>
    <row r="14" spans="1:16">
      <c r="A14" s="17"/>
      <c r="B14" s="23" t="s">
        <v>126</v>
      </c>
      <c r="C14" s="18">
        <v>385000000000</v>
      </c>
      <c r="D14" s="18">
        <f t="shared" ref="D14:D15" si="9">C14*50%</f>
        <v>192500000000</v>
      </c>
      <c r="E14" s="18">
        <f>288692820626-215486425574</f>
        <v>73206395052</v>
      </c>
      <c r="F14" s="18">
        <f t="shared" ref="F14:F15" si="10">E14*50%</f>
        <v>36603197526</v>
      </c>
      <c r="G14" s="123">
        <f t="shared" si="3"/>
        <v>0.19014648065454545</v>
      </c>
      <c r="H14" s="123">
        <f t="shared" si="4"/>
        <v>0.19014648065454545</v>
      </c>
      <c r="I14" s="123">
        <f>F14/114138231938</f>
        <v>0.32069182170162663</v>
      </c>
      <c r="J14" s="18">
        <v>288692820626</v>
      </c>
      <c r="K14" s="18">
        <v>144346413716</v>
      </c>
      <c r="L14" s="19">
        <f t="shared" si="2"/>
        <v>0.7498514821454545</v>
      </c>
      <c r="M14" s="19">
        <f t="shared" si="2"/>
        <v>0.74985149982337662</v>
      </c>
      <c r="N14" s="19">
        <f>J14/286887000000</f>
        <v>1.0062945362668925</v>
      </c>
      <c r="O14" s="200"/>
    </row>
    <row r="15" spans="1:16">
      <c r="A15" s="17"/>
      <c r="B15" s="23" t="s">
        <v>127</v>
      </c>
      <c r="C15" s="18">
        <v>2200000000</v>
      </c>
      <c r="D15" s="18">
        <f t="shared" si="9"/>
        <v>1100000000</v>
      </c>
      <c r="E15" s="18">
        <f>2321128541-1482843609</f>
        <v>838284932</v>
      </c>
      <c r="F15" s="18">
        <f t="shared" si="10"/>
        <v>419142466</v>
      </c>
      <c r="G15" s="123">
        <f t="shared" si="3"/>
        <v>0.38103860545454543</v>
      </c>
      <c r="H15" s="123">
        <f t="shared" si="4"/>
        <v>0.38103860545454543</v>
      </c>
      <c r="I15" s="123">
        <f>F15/610865285</f>
        <v>0.68614549933051117</v>
      </c>
      <c r="J15" s="18">
        <v>2321128541</v>
      </c>
      <c r="K15" s="18">
        <v>1129045447</v>
      </c>
      <c r="L15" s="19">
        <f t="shared" si="2"/>
        <v>1.0550584277272728</v>
      </c>
      <c r="M15" s="19">
        <f t="shared" si="2"/>
        <v>1.0264049518181819</v>
      </c>
      <c r="N15" s="19">
        <f>J15/1648179496</f>
        <v>1.4082983962809836</v>
      </c>
      <c r="O15" s="200"/>
    </row>
    <row r="16" spans="1:16" ht="31.5">
      <c r="A16" s="17"/>
      <c r="B16" s="22" t="s">
        <v>54</v>
      </c>
      <c r="C16" s="18"/>
      <c r="D16" s="18"/>
      <c r="E16" s="18"/>
      <c r="F16" s="18"/>
      <c r="G16" s="123"/>
      <c r="H16" s="123"/>
      <c r="I16" s="123"/>
      <c r="J16" s="18"/>
      <c r="K16" s="18"/>
      <c r="L16" s="19"/>
      <c r="M16" s="19"/>
      <c r="N16" s="19"/>
      <c r="O16" s="200"/>
    </row>
    <row r="17" spans="1:15">
      <c r="A17" s="17"/>
      <c r="B17" s="21" t="s">
        <v>55</v>
      </c>
      <c r="C17" s="18">
        <v>20000000000</v>
      </c>
      <c r="D17" s="18">
        <f>C17</f>
        <v>20000000000</v>
      </c>
      <c r="E17" s="18">
        <f>14825146736-8909424849</f>
        <v>5915721887</v>
      </c>
      <c r="F17" s="18">
        <f>E17</f>
        <v>5915721887</v>
      </c>
      <c r="G17" s="123">
        <f t="shared" si="3"/>
        <v>0.29578609434999997</v>
      </c>
      <c r="H17" s="123">
        <f t="shared" si="4"/>
        <v>0.29578609434999997</v>
      </c>
      <c r="I17" s="123">
        <f>F17/4604968445</f>
        <v>1.2846389628192121</v>
      </c>
      <c r="J17" s="18">
        <v>14825146736</v>
      </c>
      <c r="K17" s="18">
        <v>14825146736</v>
      </c>
      <c r="L17" s="19">
        <f>J17/C17*100%</f>
        <v>0.74125733680000006</v>
      </c>
      <c r="M17" s="19">
        <f>K17/D17*100%</f>
        <v>0.74125733680000006</v>
      </c>
      <c r="N17" s="19">
        <f>J17/14782750596</f>
        <v>1.0028679466466459</v>
      </c>
      <c r="O17" s="200"/>
    </row>
    <row r="18" spans="1:15" ht="20.25" customHeight="1">
      <c r="A18" s="88">
        <v>2</v>
      </c>
      <c r="B18" s="20" t="s">
        <v>128</v>
      </c>
      <c r="C18" s="89">
        <v>350000000000</v>
      </c>
      <c r="D18" s="199">
        <f>C18</f>
        <v>350000000000</v>
      </c>
      <c r="E18" s="199">
        <f>237358918395-147780612589</f>
        <v>89578305806</v>
      </c>
      <c r="F18" s="199">
        <f>E18</f>
        <v>89578305806</v>
      </c>
      <c r="G18" s="123">
        <f t="shared" si="3"/>
        <v>0.2559380165885714</v>
      </c>
      <c r="H18" s="123">
        <f t="shared" si="4"/>
        <v>0.2559380165885714</v>
      </c>
      <c r="I18" s="123">
        <f>F18/87501792306</f>
        <v>1.0237310967612903</v>
      </c>
      <c r="J18" s="199">
        <v>237358918395</v>
      </c>
      <c r="K18" s="199">
        <f>J18</f>
        <v>237358918395</v>
      </c>
      <c r="L18" s="19">
        <f>J18/C18*100%</f>
        <v>0.67816833827142853</v>
      </c>
      <c r="M18" s="19">
        <f>K18/D18*100%</f>
        <v>0.67816833827142853</v>
      </c>
      <c r="N18" s="19">
        <f>J18/240963922127</f>
        <v>0.98503923865374343</v>
      </c>
      <c r="O18" s="200"/>
    </row>
    <row r="19" spans="1:15" ht="21" customHeight="1">
      <c r="A19" s="88">
        <v>3</v>
      </c>
      <c r="B19" s="20" t="s">
        <v>56</v>
      </c>
      <c r="C19" s="89">
        <v>0</v>
      </c>
      <c r="D19" s="18"/>
      <c r="E19" s="18"/>
      <c r="F19" s="18"/>
      <c r="G19" s="123"/>
      <c r="H19" s="123"/>
      <c r="I19" s="123"/>
      <c r="J19" s="18"/>
      <c r="K19" s="18"/>
      <c r="L19" s="19"/>
      <c r="M19" s="19"/>
      <c r="N19" s="19"/>
      <c r="O19" s="200"/>
    </row>
    <row r="20" spans="1:15" ht="44.25" customHeight="1">
      <c r="A20" s="88">
        <v>4</v>
      </c>
      <c r="B20" s="20" t="s">
        <v>129</v>
      </c>
      <c r="C20" s="89">
        <v>59000000000</v>
      </c>
      <c r="D20" s="18">
        <f>C20</f>
        <v>59000000000</v>
      </c>
      <c r="E20" s="18">
        <f>110041080427-92997462555</f>
        <v>17043617872</v>
      </c>
      <c r="F20" s="18">
        <f>E20</f>
        <v>17043617872</v>
      </c>
      <c r="G20" s="123">
        <f t="shared" si="3"/>
        <v>0.28887487918644067</v>
      </c>
      <c r="H20" s="123">
        <f t="shared" si="4"/>
        <v>0.28887487918644067</v>
      </c>
      <c r="I20" s="123">
        <f>F20/19621410221</f>
        <v>0.86862349240111736</v>
      </c>
      <c r="J20" s="18">
        <v>110041080427</v>
      </c>
      <c r="K20" s="18">
        <f>J20</f>
        <v>110041080427</v>
      </c>
      <c r="L20" s="19">
        <f>J20/C20*100%</f>
        <v>1.8651030580847459</v>
      </c>
      <c r="M20" s="19">
        <f>K20/D20*100%</f>
        <v>1.8651030580847459</v>
      </c>
      <c r="N20" s="19">
        <f>J20/95698409858</f>
        <v>1.1498736561065337</v>
      </c>
      <c r="O20" s="200"/>
    </row>
    <row r="21" spans="1:15" ht="20.25" customHeight="1">
      <c r="A21" s="88">
        <v>5</v>
      </c>
      <c r="B21" s="20" t="s">
        <v>57</v>
      </c>
      <c r="C21" s="89">
        <v>0</v>
      </c>
      <c r="D21" s="18"/>
      <c r="E21" s="18"/>
      <c r="F21" s="18"/>
      <c r="G21" s="123"/>
      <c r="H21" s="123"/>
      <c r="I21" s="123"/>
      <c r="J21" s="18"/>
      <c r="K21" s="18"/>
      <c r="L21" s="19"/>
      <c r="M21" s="19"/>
      <c r="N21" s="19"/>
      <c r="O21" s="200"/>
    </row>
    <row r="22" spans="1:15" ht="21" customHeight="1">
      <c r="A22" s="88">
        <v>6</v>
      </c>
      <c r="B22" s="20" t="s">
        <v>130</v>
      </c>
      <c r="C22" s="89">
        <v>380000000000</v>
      </c>
      <c r="D22" s="199">
        <f>C22*50%</f>
        <v>190000000000</v>
      </c>
      <c r="E22" s="199">
        <f>305808967272-205560821150</f>
        <v>100248146122</v>
      </c>
      <c r="F22" s="199">
        <f>E22*50%</f>
        <v>50124073061</v>
      </c>
      <c r="G22" s="123">
        <f t="shared" si="3"/>
        <v>0.26381091084736841</v>
      </c>
      <c r="H22" s="123">
        <f t="shared" si="4"/>
        <v>0.26381091084736841</v>
      </c>
      <c r="I22" s="123">
        <f>F22/88412996930</f>
        <v>0.56693104861817067</v>
      </c>
      <c r="J22" s="199">
        <v>305808967272</v>
      </c>
      <c r="K22" s="199">
        <v>152904486270</v>
      </c>
      <c r="L22" s="19">
        <f t="shared" ref="L22:M28" si="11">J22/C22*100%</f>
        <v>0.80476044018947368</v>
      </c>
      <c r="M22" s="19">
        <f t="shared" si="11"/>
        <v>0.80476045405263152</v>
      </c>
      <c r="N22" s="19">
        <f>J22/284332290701</f>
        <v>1.0755337232997733</v>
      </c>
      <c r="O22" s="200"/>
    </row>
    <row r="23" spans="1:15" ht="21" customHeight="1">
      <c r="A23" s="88">
        <v>7</v>
      </c>
      <c r="B23" s="20" t="s">
        <v>131</v>
      </c>
      <c r="C23" s="89">
        <v>10000000000</v>
      </c>
      <c r="D23" s="199">
        <f>C23*50%</f>
        <v>5000000000</v>
      </c>
      <c r="E23" s="199">
        <f>12209757675-8116739167</f>
        <v>4093018508</v>
      </c>
      <c r="F23" s="199">
        <f>E23*50%</f>
        <v>2046509254</v>
      </c>
      <c r="G23" s="123">
        <f t="shared" si="3"/>
        <v>0.40930185079999998</v>
      </c>
      <c r="H23" s="123">
        <f t="shared" si="4"/>
        <v>0.40930185079999998</v>
      </c>
      <c r="I23" s="123">
        <f>F23/3925498286</f>
        <v>0.52133744684050032</v>
      </c>
      <c r="J23" s="199">
        <v>12209757675</v>
      </c>
      <c r="K23" s="199">
        <v>3662946535</v>
      </c>
      <c r="L23" s="19">
        <f t="shared" si="11"/>
        <v>1.2209757674999999</v>
      </c>
      <c r="M23" s="19">
        <f t="shared" si="11"/>
        <v>0.73258930700000002</v>
      </c>
      <c r="N23" s="19">
        <f>J23/10195809465</f>
        <v>1.1975270543171139</v>
      </c>
      <c r="O23" s="200"/>
    </row>
    <row r="24" spans="1:15" ht="19.5" customHeight="1">
      <c r="A24" s="88">
        <v>8</v>
      </c>
      <c r="B24" s="20" t="s">
        <v>58</v>
      </c>
      <c r="C24" s="89">
        <v>75000000000</v>
      </c>
      <c r="D24" s="199">
        <f>D25</f>
        <v>60000000000</v>
      </c>
      <c r="E24" s="199">
        <f>79198026943-60986963871</f>
        <v>18211063072</v>
      </c>
      <c r="F24" s="199">
        <f>F25</f>
        <v>11479846216</v>
      </c>
      <c r="G24" s="123">
        <f t="shared" si="3"/>
        <v>0.24281417429333332</v>
      </c>
      <c r="H24" s="123">
        <f t="shared" si="4"/>
        <v>0.19133077026666667</v>
      </c>
      <c r="I24" s="123">
        <f>F24/18241679963</f>
        <v>0.62931957140377559</v>
      </c>
      <c r="J24" s="199">
        <v>79198026943</v>
      </c>
      <c r="K24" s="199">
        <f>K25</f>
        <v>63807719473</v>
      </c>
      <c r="L24" s="19">
        <f t="shared" si="11"/>
        <v>1.0559736925733334</v>
      </c>
      <c r="M24" s="19">
        <f t="shared" si="11"/>
        <v>1.0634619912166667</v>
      </c>
      <c r="N24" s="19">
        <f>J24/69911656237</f>
        <v>1.1328300773553308</v>
      </c>
      <c r="O24" s="200"/>
    </row>
    <row r="25" spans="1:15" ht="31.5">
      <c r="A25" s="17"/>
      <c r="B25" s="22" t="s">
        <v>59</v>
      </c>
      <c r="C25" s="18">
        <v>60000000000</v>
      </c>
      <c r="D25" s="18">
        <f>C25</f>
        <v>60000000000</v>
      </c>
      <c r="E25" s="18">
        <f>63807719473-52327873257</f>
        <v>11479846216</v>
      </c>
      <c r="F25" s="18">
        <f>E25</f>
        <v>11479846216</v>
      </c>
      <c r="G25" s="123">
        <f t="shared" si="3"/>
        <v>0.19133077026666667</v>
      </c>
      <c r="H25" s="123">
        <f t="shared" si="4"/>
        <v>0.19133077026666667</v>
      </c>
      <c r="I25" s="123">
        <f>F25/18241679963</f>
        <v>0.62931957140377559</v>
      </c>
      <c r="J25" s="18">
        <v>63807719473</v>
      </c>
      <c r="K25" s="18">
        <f>J25</f>
        <v>63807719473</v>
      </c>
      <c r="L25" s="19">
        <f t="shared" si="11"/>
        <v>1.0634619912166667</v>
      </c>
      <c r="M25" s="19">
        <f t="shared" si="11"/>
        <v>1.0634619912166667</v>
      </c>
      <c r="N25" s="19">
        <f>J25/54510747399</f>
        <v>1.17055301050909</v>
      </c>
      <c r="O25" s="200"/>
    </row>
    <row r="26" spans="1:15" ht="25.5" customHeight="1">
      <c r="A26" s="88">
        <v>9</v>
      </c>
      <c r="B26" s="20" t="s">
        <v>132</v>
      </c>
      <c r="C26" s="89">
        <v>450000000000</v>
      </c>
      <c r="D26" s="199">
        <f>C26*60%</f>
        <v>270000000000</v>
      </c>
      <c r="E26" s="199">
        <f>385237225861-229095578089</f>
        <v>156141647772</v>
      </c>
      <c r="F26" s="199">
        <f>E26*60%</f>
        <v>93684988663.199997</v>
      </c>
      <c r="G26" s="123">
        <f t="shared" si="3"/>
        <v>0.34698143949333332</v>
      </c>
      <c r="H26" s="123">
        <f t="shared" si="4"/>
        <v>0.34698143949333332</v>
      </c>
      <c r="I26" s="123">
        <f>F26/91176340363</f>
        <v>1.0275142464614431</v>
      </c>
      <c r="J26" s="199">
        <v>385237225861</v>
      </c>
      <c r="K26" s="199">
        <v>231142335524</v>
      </c>
      <c r="L26" s="19">
        <f t="shared" si="11"/>
        <v>0.85608272413555553</v>
      </c>
      <c r="M26" s="19">
        <f t="shared" si="11"/>
        <v>0.85608272416296294</v>
      </c>
      <c r="N26" s="19">
        <f>J26/370963394636</f>
        <v>1.0384777350849022</v>
      </c>
      <c r="O26" s="200"/>
    </row>
    <row r="27" spans="1:15" ht="31.5" hidden="1">
      <c r="A27" s="17"/>
      <c r="B27" s="22" t="s">
        <v>133</v>
      </c>
      <c r="C27" s="18">
        <v>590000000000</v>
      </c>
      <c r="D27" s="18">
        <f>C27*60%</f>
        <v>354000000000</v>
      </c>
      <c r="E27" s="18"/>
      <c r="F27" s="18"/>
      <c r="G27" s="123">
        <f t="shared" si="3"/>
        <v>0</v>
      </c>
      <c r="H27" s="123">
        <f t="shared" si="4"/>
        <v>0</v>
      </c>
      <c r="I27" s="123"/>
      <c r="J27" s="18"/>
      <c r="K27" s="18"/>
      <c r="L27" s="19">
        <f t="shared" si="11"/>
        <v>0</v>
      </c>
      <c r="M27" s="19">
        <f t="shared" si="11"/>
        <v>0</v>
      </c>
      <c r="N27" s="19"/>
      <c r="O27" s="200"/>
    </row>
    <row r="28" spans="1:15" ht="19.5" customHeight="1">
      <c r="A28" s="88">
        <v>10</v>
      </c>
      <c r="B28" s="20" t="s">
        <v>60</v>
      </c>
      <c r="C28" s="89">
        <v>10000000000</v>
      </c>
      <c r="D28" s="199">
        <f>C28</f>
        <v>10000000000</v>
      </c>
      <c r="E28" s="199">
        <f>13080478837-3602979141</f>
        <v>9477499696</v>
      </c>
      <c r="F28" s="199">
        <f>E28</f>
        <v>9477499696</v>
      </c>
      <c r="G28" s="123">
        <f t="shared" si="3"/>
        <v>0.94774996960000002</v>
      </c>
      <c r="H28" s="123">
        <f t="shared" si="4"/>
        <v>0.94774996960000002</v>
      </c>
      <c r="I28" s="123">
        <f>F28/2526743205</f>
        <v>3.7508757032553293</v>
      </c>
      <c r="J28" s="199">
        <v>13080478837</v>
      </c>
      <c r="K28" s="199">
        <v>13080478837</v>
      </c>
      <c r="L28" s="19">
        <f t="shared" si="11"/>
        <v>1.3080478837</v>
      </c>
      <c r="M28" s="19">
        <f t="shared" si="11"/>
        <v>1.3080478837</v>
      </c>
      <c r="N28" s="19">
        <f>J28/8138176749</f>
        <v>1.6072984453928576</v>
      </c>
      <c r="O28" s="200"/>
    </row>
    <row r="29" spans="1:15" ht="22.5" customHeight="1">
      <c r="A29" s="88">
        <v>11</v>
      </c>
      <c r="B29" s="20" t="s">
        <v>61</v>
      </c>
      <c r="C29" s="18">
        <v>0</v>
      </c>
      <c r="D29" s="18"/>
      <c r="E29" s="18"/>
      <c r="F29" s="18"/>
      <c r="G29" s="123"/>
      <c r="H29" s="123"/>
      <c r="I29" s="123"/>
      <c r="J29" s="18"/>
      <c r="K29" s="18"/>
      <c r="L29" s="19"/>
      <c r="M29" s="19"/>
      <c r="N29" s="19"/>
      <c r="O29" s="200"/>
    </row>
    <row r="30" spans="1:15">
      <c r="A30" s="17"/>
      <c r="B30" s="22" t="s">
        <v>62</v>
      </c>
      <c r="C30" s="18">
        <v>0</v>
      </c>
      <c r="D30" s="18"/>
      <c r="E30" s="18"/>
      <c r="F30" s="18"/>
      <c r="G30" s="123"/>
      <c r="H30" s="123"/>
      <c r="I30" s="123"/>
      <c r="J30" s="18"/>
      <c r="K30" s="18"/>
      <c r="L30" s="19"/>
      <c r="M30" s="19"/>
      <c r="N30" s="19"/>
      <c r="O30" s="200"/>
    </row>
    <row r="31" spans="1:15" ht="31.5">
      <c r="A31" s="88">
        <v>12</v>
      </c>
      <c r="B31" s="20" t="s">
        <v>63</v>
      </c>
      <c r="C31" s="18">
        <v>0</v>
      </c>
      <c r="D31" s="18"/>
      <c r="E31" s="18"/>
      <c r="F31" s="18"/>
      <c r="G31" s="123"/>
      <c r="H31" s="123"/>
      <c r="I31" s="123"/>
      <c r="J31" s="18"/>
      <c r="K31" s="18"/>
      <c r="L31" s="19"/>
      <c r="M31" s="19"/>
      <c r="N31" s="19"/>
      <c r="O31" s="200"/>
    </row>
    <row r="32" spans="1:15">
      <c r="A32" s="88">
        <v>13</v>
      </c>
      <c r="B32" s="20" t="s">
        <v>21</v>
      </c>
      <c r="C32" s="89">
        <v>90000000000</v>
      </c>
      <c r="D32" s="199">
        <f>D33</f>
        <v>60000000000</v>
      </c>
      <c r="E32" s="199">
        <f>120024115402-75624874862</f>
        <v>44399240540</v>
      </c>
      <c r="F32" s="199">
        <f>F33</f>
        <v>44470682221</v>
      </c>
      <c r="G32" s="123">
        <f t="shared" si="3"/>
        <v>0.49332489488888887</v>
      </c>
      <c r="H32" s="123">
        <f t="shared" si="4"/>
        <v>0.74117803701666662</v>
      </c>
      <c r="I32" s="123">
        <f>E32/25685892398</f>
        <v>1.72854576559143</v>
      </c>
      <c r="J32" s="199">
        <v>120024115402</v>
      </c>
      <c r="K32" s="199">
        <f>K33</f>
        <v>80798555478</v>
      </c>
      <c r="L32" s="19">
        <f>J32/C32*100%</f>
        <v>1.3336012822444445</v>
      </c>
      <c r="M32" s="19">
        <f>K32/D32*100%</f>
        <v>1.3466425913</v>
      </c>
      <c r="N32" s="19">
        <f>J32/90142323521</f>
        <v>1.3314956916330052</v>
      </c>
      <c r="O32" s="200"/>
    </row>
    <row r="33" spans="1:15">
      <c r="A33" s="17"/>
      <c r="B33" s="22" t="s">
        <v>64</v>
      </c>
      <c r="C33" s="18">
        <v>60000000000</v>
      </c>
      <c r="D33" s="18">
        <f>C33</f>
        <v>60000000000</v>
      </c>
      <c r="E33" s="18">
        <f>80798555478-36327873257</f>
        <v>44470682221</v>
      </c>
      <c r="F33" s="18">
        <f>E33</f>
        <v>44470682221</v>
      </c>
      <c r="G33" s="123">
        <f t="shared" si="3"/>
        <v>0.74117803701666662</v>
      </c>
      <c r="H33" s="123">
        <f t="shared" si="4"/>
        <v>0.74117803701666662</v>
      </c>
      <c r="I33" s="123">
        <f>E33/15498699029</f>
        <v>2.869317104473724</v>
      </c>
      <c r="J33" s="18">
        <v>80798555478</v>
      </c>
      <c r="K33" s="18">
        <f>J33</f>
        <v>80798555478</v>
      </c>
      <c r="L33" s="19">
        <f>J33/C33*100%</f>
        <v>1.3466425913</v>
      </c>
      <c r="M33" s="19">
        <f>K33/D33*100%</f>
        <v>1.3466425913</v>
      </c>
      <c r="N33" s="19">
        <f>J33/48629388105</f>
        <v>1.6615170090880171</v>
      </c>
      <c r="O33" s="200"/>
    </row>
    <row r="34" spans="1:15" ht="31.5">
      <c r="A34" s="88">
        <v>14</v>
      </c>
      <c r="B34" s="20" t="s">
        <v>65</v>
      </c>
      <c r="C34" s="89"/>
      <c r="D34" s="18"/>
      <c r="E34" s="18"/>
      <c r="F34" s="18"/>
      <c r="G34" s="123"/>
      <c r="H34" s="123"/>
      <c r="I34" s="123"/>
      <c r="J34" s="18"/>
      <c r="K34" s="18"/>
      <c r="L34" s="19"/>
      <c r="M34" s="19"/>
      <c r="N34" s="19"/>
      <c r="O34" s="200"/>
    </row>
    <row r="35" spans="1:15">
      <c r="A35" s="88">
        <v>16</v>
      </c>
      <c r="B35" s="20" t="s">
        <v>66</v>
      </c>
      <c r="C35" s="89">
        <v>0</v>
      </c>
      <c r="D35" s="18"/>
      <c r="E35" s="18"/>
      <c r="F35" s="18"/>
      <c r="G35" s="123"/>
      <c r="H35" s="123"/>
      <c r="I35" s="123"/>
      <c r="J35" s="18"/>
      <c r="K35" s="18"/>
      <c r="L35" s="19"/>
      <c r="M35" s="19"/>
      <c r="N35" s="19"/>
      <c r="O35" s="200"/>
    </row>
    <row r="36" spans="1:15" ht="31.5">
      <c r="A36" s="88">
        <v>17</v>
      </c>
      <c r="B36" s="20" t="s">
        <v>67</v>
      </c>
      <c r="C36" s="18">
        <v>0</v>
      </c>
      <c r="D36" s="18"/>
      <c r="E36" s="18"/>
      <c r="F36" s="18"/>
      <c r="G36" s="123"/>
      <c r="H36" s="123"/>
      <c r="I36" s="123"/>
      <c r="J36" s="18"/>
      <c r="K36" s="18"/>
      <c r="L36" s="19"/>
      <c r="M36" s="19"/>
      <c r="N36" s="19"/>
      <c r="O36" s="200"/>
    </row>
    <row r="37" spans="1:15">
      <c r="A37" s="88" t="s">
        <v>8</v>
      </c>
      <c r="B37" s="20" t="s">
        <v>68</v>
      </c>
      <c r="C37" s="18"/>
      <c r="D37" s="18"/>
      <c r="E37" s="18"/>
      <c r="F37" s="18"/>
      <c r="G37" s="123"/>
      <c r="H37" s="123"/>
      <c r="I37" s="123"/>
      <c r="J37" s="18"/>
      <c r="K37" s="18"/>
      <c r="L37" s="19"/>
      <c r="M37" s="19"/>
      <c r="N37" s="19"/>
      <c r="O37" s="200"/>
    </row>
    <row r="38" spans="1:15">
      <c r="A38" s="88" t="s">
        <v>9</v>
      </c>
      <c r="B38" s="20" t="s">
        <v>69</v>
      </c>
      <c r="C38" s="89">
        <f>C39+C40+C43</f>
        <v>1228516000000</v>
      </c>
      <c r="D38" s="199">
        <f t="shared" ref="D38" si="12">D39+D40+D43</f>
        <v>1228516000000</v>
      </c>
      <c r="E38" s="199">
        <f>E39+E40</f>
        <v>264046000000</v>
      </c>
      <c r="F38" s="201">
        <f>F39+F40</f>
        <v>264046000000</v>
      </c>
      <c r="G38" s="123">
        <f t="shared" si="3"/>
        <v>0.21493085967134332</v>
      </c>
      <c r="H38" s="123">
        <f t="shared" si="4"/>
        <v>0.21493085967134332</v>
      </c>
      <c r="I38" s="123">
        <f>E38/204239000000</f>
        <v>1.2928284999436934</v>
      </c>
      <c r="J38" s="199">
        <f>J39+J40+J43</f>
        <v>966658000000</v>
      </c>
      <c r="K38" s="199">
        <f>K39+K40+K43</f>
        <v>966658000000</v>
      </c>
      <c r="L38" s="19">
        <f>J38/C38*100%</f>
        <v>0.78685015091378541</v>
      </c>
      <c r="M38" s="19">
        <f>K38/D38*100%</f>
        <v>0.78685015091378541</v>
      </c>
      <c r="N38" s="19">
        <f>J38/654524000000</f>
        <v>1.4768870201856616</v>
      </c>
      <c r="O38" s="207"/>
    </row>
    <row r="39" spans="1:15">
      <c r="A39" s="17"/>
      <c r="B39" s="23" t="s">
        <v>70</v>
      </c>
      <c r="C39" s="18">
        <v>1047432000000</v>
      </c>
      <c r="D39" s="18">
        <f>C39</f>
        <v>1047432000000</v>
      </c>
      <c r="E39" s="18">
        <f>785574000000-611002000000</f>
        <v>174572000000</v>
      </c>
      <c r="F39" s="18">
        <f>E39</f>
        <v>174572000000</v>
      </c>
      <c r="G39" s="123">
        <f t="shared" si="3"/>
        <v>0.16666666666666666</v>
      </c>
      <c r="H39" s="123">
        <f t="shared" si="4"/>
        <v>0.16666666666666666</v>
      </c>
      <c r="I39" s="123">
        <f>E39/134471000000</f>
        <v>1.298212997597995</v>
      </c>
      <c r="J39" s="18">
        <v>785574000000</v>
      </c>
      <c r="K39" s="18">
        <f>J39</f>
        <v>785574000000</v>
      </c>
      <c r="L39" s="19">
        <f>J39/C39*100%</f>
        <v>0.75</v>
      </c>
      <c r="M39" s="19">
        <f>K39/D39*100%</f>
        <v>0.75</v>
      </c>
      <c r="N39" s="19">
        <f>J39/470645000000</f>
        <v>1.6691434095762199</v>
      </c>
      <c r="O39" s="200"/>
    </row>
    <row r="40" spans="1:15">
      <c r="A40" s="17"/>
      <c r="B40" s="23" t="s">
        <v>134</v>
      </c>
      <c r="C40" s="199">
        <f>C41+C42</f>
        <v>89474000000</v>
      </c>
      <c r="D40" s="199">
        <f t="shared" ref="D40" si="13">D41+D42</f>
        <v>89474000000</v>
      </c>
      <c r="E40" s="199">
        <f>E41</f>
        <v>89474000000</v>
      </c>
      <c r="F40" s="199">
        <f>F41</f>
        <v>89474000000</v>
      </c>
      <c r="G40" s="123">
        <f t="shared" si="3"/>
        <v>1</v>
      </c>
      <c r="H40" s="123">
        <f t="shared" si="4"/>
        <v>1</v>
      </c>
      <c r="I40" s="24">
        <f>E40/69769000000</f>
        <v>1.2824320256847597</v>
      </c>
      <c r="J40" s="199">
        <f>J41</f>
        <v>89474000000</v>
      </c>
      <c r="K40" s="199">
        <f>K41</f>
        <v>89474000000</v>
      </c>
      <c r="L40" s="19"/>
      <c r="M40" s="19"/>
      <c r="N40" s="19">
        <f>J40/92269000000</f>
        <v>0.96970813599367067</v>
      </c>
      <c r="O40" s="200"/>
    </row>
    <row r="41" spans="1:15">
      <c r="A41" s="17"/>
      <c r="B41" s="23" t="s">
        <v>71</v>
      </c>
      <c r="C41" s="18">
        <v>89474000000</v>
      </c>
      <c r="D41" s="18">
        <f>C41</f>
        <v>89474000000</v>
      </c>
      <c r="E41" s="18">
        <f>89474000000</f>
        <v>89474000000</v>
      </c>
      <c r="F41" s="18">
        <f>89474000000</f>
        <v>89474000000</v>
      </c>
      <c r="G41" s="123">
        <f t="shared" si="3"/>
        <v>1</v>
      </c>
      <c r="H41" s="123">
        <f t="shared" si="4"/>
        <v>1</v>
      </c>
      <c r="I41" s="24">
        <f>E41/69769000000</f>
        <v>1.2824320256847597</v>
      </c>
      <c r="J41" s="18">
        <v>89474000000</v>
      </c>
      <c r="K41" s="18">
        <f>J41</f>
        <v>89474000000</v>
      </c>
      <c r="L41" s="19"/>
      <c r="M41" s="19"/>
      <c r="N41" s="19">
        <f>J41/92269000000</f>
        <v>0.96970813599367067</v>
      </c>
      <c r="O41" s="200"/>
    </row>
    <row r="42" spans="1:15">
      <c r="A42" s="17"/>
      <c r="B42" s="23" t="s">
        <v>72</v>
      </c>
      <c r="C42" s="18"/>
      <c r="D42" s="18"/>
      <c r="E42" s="18"/>
      <c r="F42" s="18"/>
      <c r="G42" s="123"/>
      <c r="H42" s="18"/>
      <c r="I42" s="18"/>
      <c r="J42" s="18"/>
      <c r="K42" s="18"/>
      <c r="L42" s="19"/>
      <c r="M42" s="19"/>
      <c r="N42" s="19"/>
      <c r="O42" s="200"/>
    </row>
    <row r="43" spans="1:15">
      <c r="A43" s="88"/>
      <c r="B43" s="23" t="s">
        <v>135</v>
      </c>
      <c r="C43" s="18">
        <v>91610000000</v>
      </c>
      <c r="D43" s="18">
        <f>C43</f>
        <v>91610000000</v>
      </c>
      <c r="E43" s="18">
        <v>0</v>
      </c>
      <c r="F43" s="18">
        <v>0</v>
      </c>
      <c r="G43" s="123"/>
      <c r="H43" s="18"/>
      <c r="I43" s="18"/>
      <c r="J43" s="18">
        <v>91610000000</v>
      </c>
      <c r="K43" s="18">
        <f>J43</f>
        <v>91610000000</v>
      </c>
      <c r="L43" s="19">
        <f>J43/C43*100%</f>
        <v>1</v>
      </c>
      <c r="M43" s="19">
        <f>K43/D43*100%</f>
        <v>1</v>
      </c>
      <c r="N43" s="19">
        <v>1</v>
      </c>
      <c r="O43" s="200"/>
    </row>
    <row r="44" spans="1:15" s="98" customFormat="1">
      <c r="A44" s="88" t="s">
        <v>11</v>
      </c>
      <c r="B44" s="25" t="s">
        <v>136</v>
      </c>
      <c r="C44" s="89"/>
      <c r="D44" s="199"/>
      <c r="E44" s="199"/>
      <c r="F44" s="199"/>
      <c r="G44" s="123"/>
      <c r="H44" s="199"/>
      <c r="I44" s="199"/>
      <c r="J44" s="199"/>
      <c r="K44" s="199"/>
      <c r="L44" s="19"/>
      <c r="M44" s="19"/>
      <c r="N44" s="19"/>
      <c r="O44" s="200"/>
    </row>
    <row r="45" spans="1:15" s="98" customFormat="1">
      <c r="A45" s="88" t="s">
        <v>46</v>
      </c>
      <c r="B45" s="25" t="s">
        <v>137</v>
      </c>
      <c r="C45" s="89"/>
      <c r="D45" s="199"/>
      <c r="E45" s="199">
        <f>325961684-325961684</f>
        <v>0</v>
      </c>
      <c r="F45" s="199">
        <f>E45</f>
        <v>0</v>
      </c>
      <c r="G45" s="123"/>
      <c r="H45" s="199"/>
      <c r="I45" s="199"/>
      <c r="J45" s="199"/>
      <c r="K45" s="199"/>
      <c r="L45" s="19"/>
      <c r="M45" s="19"/>
      <c r="N45" s="19"/>
      <c r="O45" s="200"/>
    </row>
    <row r="46" spans="1:15" s="98" customFormat="1">
      <c r="A46" s="88" t="s">
        <v>138</v>
      </c>
      <c r="B46" s="25" t="s">
        <v>139</v>
      </c>
      <c r="C46" s="89"/>
      <c r="D46" s="199"/>
      <c r="E46" s="199"/>
      <c r="F46" s="199"/>
      <c r="G46" s="123"/>
      <c r="H46" s="199"/>
      <c r="I46" s="199"/>
      <c r="J46" s="199"/>
      <c r="K46" s="199"/>
      <c r="L46" s="19"/>
      <c r="M46" s="19"/>
      <c r="N46" s="19"/>
      <c r="O46" s="200"/>
    </row>
    <row r="47" spans="1:15" ht="27" customHeight="1">
      <c r="A47" s="88" t="s">
        <v>140</v>
      </c>
      <c r="B47" s="20" t="s">
        <v>73</v>
      </c>
      <c r="C47" s="89">
        <f>C48</f>
        <v>0</v>
      </c>
      <c r="D47" s="199">
        <f>D48</f>
        <v>158013000000</v>
      </c>
      <c r="E47" s="199"/>
      <c r="F47" s="199">
        <f>F48</f>
        <v>0</v>
      </c>
      <c r="G47" s="123"/>
      <c r="H47" s="199"/>
      <c r="I47" s="199"/>
      <c r="J47" s="199">
        <v>0</v>
      </c>
      <c r="K47" s="199">
        <v>80000000000</v>
      </c>
      <c r="L47" s="19"/>
      <c r="M47" s="19"/>
      <c r="N47" s="19"/>
      <c r="O47" s="16">
        <v>0</v>
      </c>
    </row>
    <row r="48" spans="1:15">
      <c r="A48" s="17"/>
      <c r="B48" s="23" t="s">
        <v>141</v>
      </c>
      <c r="C48" s="18">
        <v>0</v>
      </c>
      <c r="D48" s="18">
        <v>158013000000</v>
      </c>
      <c r="E48" s="18"/>
      <c r="F48" s="18">
        <v>0</v>
      </c>
      <c r="G48" s="123"/>
      <c r="H48" s="18"/>
      <c r="I48" s="18"/>
      <c r="J48" s="18"/>
      <c r="K48" s="18"/>
      <c r="L48" s="24"/>
      <c r="M48" s="24"/>
      <c r="N48" s="24"/>
      <c r="O48" s="16"/>
    </row>
    <row r="49" spans="1:11" ht="29.25" customHeight="1">
      <c r="A49" s="26" t="s">
        <v>142</v>
      </c>
      <c r="C49" s="15"/>
      <c r="D49" s="15"/>
      <c r="E49" s="15"/>
      <c r="F49" s="15"/>
      <c r="G49" s="15"/>
      <c r="H49" s="15"/>
      <c r="I49" s="15"/>
      <c r="J49" s="15"/>
      <c r="K49" s="15"/>
    </row>
    <row r="50" spans="1:11">
      <c r="A50" s="26"/>
      <c r="C50" s="15"/>
      <c r="D50" s="15"/>
      <c r="E50" s="15"/>
      <c r="F50" s="15"/>
      <c r="G50" s="15"/>
      <c r="H50" s="15"/>
      <c r="I50" s="15"/>
      <c r="J50" s="15"/>
      <c r="K50" s="15"/>
    </row>
    <row r="51" spans="1:11">
      <c r="A51" s="26"/>
      <c r="C51" s="15"/>
      <c r="D51" s="15"/>
      <c r="E51" s="15"/>
      <c r="F51" s="15"/>
      <c r="G51" s="15"/>
      <c r="H51" s="15"/>
      <c r="I51" s="15"/>
      <c r="J51" s="15"/>
      <c r="K51" s="15"/>
    </row>
    <row r="52" spans="1:11">
      <c r="A52" s="26"/>
      <c r="C52" s="15"/>
      <c r="D52" s="15"/>
      <c r="E52" s="15"/>
      <c r="F52" s="15"/>
      <c r="G52" s="15"/>
      <c r="H52" s="15"/>
      <c r="I52" s="15"/>
      <c r="J52" s="15"/>
      <c r="K52" s="15"/>
    </row>
    <row r="53" spans="1:11">
      <c r="A53" s="26"/>
      <c r="C53" s="15"/>
      <c r="D53" s="15"/>
      <c r="E53" s="15"/>
      <c r="F53" s="15"/>
      <c r="G53" s="15"/>
      <c r="H53" s="15"/>
      <c r="I53" s="15"/>
      <c r="J53" s="15"/>
      <c r="K53" s="15"/>
    </row>
    <row r="54" spans="1:11">
      <c r="A54" s="26"/>
      <c r="C54" s="15"/>
      <c r="D54" s="15"/>
      <c r="E54" s="15"/>
      <c r="F54" s="15"/>
      <c r="G54" s="15"/>
      <c r="H54" s="15"/>
      <c r="I54" s="15"/>
      <c r="J54" s="15"/>
      <c r="K54" s="15"/>
    </row>
    <row r="55" spans="1:11">
      <c r="A55" s="26"/>
      <c r="C55" s="15"/>
      <c r="D55" s="15"/>
      <c r="E55" s="15"/>
      <c r="F55" s="15"/>
      <c r="G55" s="15"/>
      <c r="H55" s="15"/>
      <c r="I55" s="15"/>
      <c r="J55" s="15"/>
      <c r="K55" s="15"/>
    </row>
    <row r="56" spans="1:11">
      <c r="A56" s="26"/>
      <c r="C56" s="15"/>
      <c r="D56" s="15"/>
      <c r="E56" s="15"/>
      <c r="F56" s="15"/>
      <c r="G56" s="15"/>
      <c r="H56" s="15"/>
      <c r="I56" s="15"/>
      <c r="J56" s="15"/>
      <c r="K56" s="15"/>
    </row>
    <row r="57" spans="1:11">
      <c r="A57" s="26"/>
      <c r="C57" s="15"/>
      <c r="D57" s="15"/>
      <c r="E57" s="15"/>
      <c r="F57" s="15"/>
      <c r="G57" s="15"/>
      <c r="H57" s="15"/>
      <c r="I57" s="15"/>
      <c r="J57" s="15"/>
      <c r="K57" s="15"/>
    </row>
    <row r="58" spans="1:11">
      <c r="A58" s="26"/>
      <c r="C58" s="15"/>
      <c r="D58" s="15"/>
      <c r="E58" s="15"/>
      <c r="F58" s="15"/>
      <c r="G58" s="15"/>
      <c r="H58" s="15"/>
      <c r="I58" s="15"/>
      <c r="J58" s="15"/>
      <c r="K58" s="15"/>
    </row>
    <row r="59" spans="1:11">
      <c r="A59" s="26"/>
      <c r="C59" s="15"/>
      <c r="D59" s="15"/>
      <c r="E59" s="15"/>
      <c r="F59" s="15"/>
      <c r="G59" s="15"/>
      <c r="H59" s="15"/>
      <c r="I59" s="15"/>
      <c r="J59" s="15"/>
      <c r="K59" s="15"/>
    </row>
    <row r="60" spans="1:11">
      <c r="A60" s="26"/>
      <c r="C60" s="15"/>
      <c r="D60" s="15"/>
      <c r="E60" s="15"/>
      <c r="F60" s="15"/>
      <c r="G60" s="15"/>
      <c r="H60" s="15"/>
      <c r="I60" s="15"/>
      <c r="J60" s="15"/>
      <c r="K60" s="15"/>
    </row>
    <row r="61" spans="1:11">
      <c r="A61" s="26"/>
      <c r="C61" s="15"/>
      <c r="D61" s="15"/>
      <c r="E61" s="15"/>
      <c r="F61" s="15"/>
      <c r="G61" s="15"/>
      <c r="H61" s="15"/>
      <c r="I61" s="15"/>
      <c r="J61" s="15"/>
      <c r="K61" s="15"/>
    </row>
    <row r="62" spans="1:11">
      <c r="A62" s="26"/>
      <c r="C62" s="15"/>
      <c r="D62" s="15"/>
      <c r="E62" s="15"/>
      <c r="F62" s="15"/>
      <c r="G62" s="15"/>
      <c r="H62" s="15"/>
      <c r="I62" s="15"/>
      <c r="J62" s="15"/>
      <c r="K62" s="15"/>
    </row>
    <row r="63" spans="1:11">
      <c r="A63" s="26"/>
      <c r="C63" s="15"/>
      <c r="D63" s="15"/>
      <c r="E63" s="15"/>
      <c r="F63" s="15"/>
      <c r="G63" s="15"/>
      <c r="H63" s="15"/>
      <c r="I63" s="15"/>
      <c r="J63" s="15"/>
      <c r="K63" s="15"/>
    </row>
    <row r="64" spans="1:11">
      <c r="A64" s="26"/>
      <c r="C64" s="15"/>
      <c r="D64" s="15"/>
      <c r="E64" s="15"/>
      <c r="F64" s="15"/>
      <c r="G64" s="15"/>
      <c r="H64" s="15"/>
      <c r="I64" s="15"/>
      <c r="J64" s="15"/>
      <c r="K64" s="15"/>
    </row>
    <row r="65" spans="1:14">
      <c r="A65" s="26"/>
    </row>
    <row r="66" spans="1:14">
      <c r="A66" s="26"/>
    </row>
    <row r="67" spans="1:14">
      <c r="A67" s="26"/>
    </row>
    <row r="68" spans="1:14">
      <c r="A68" s="26"/>
    </row>
    <row r="69" spans="1:14">
      <c r="A69" s="26"/>
    </row>
    <row r="70" spans="1:14">
      <c r="A70" s="26"/>
      <c r="J70" s="28"/>
      <c r="K70" s="28"/>
    </row>
    <row r="71" spans="1:14">
      <c r="A71" s="26"/>
      <c r="J71" s="28"/>
      <c r="K71" s="28"/>
    </row>
    <row r="72" spans="1:14">
      <c r="A72" s="26"/>
    </row>
    <row r="73" spans="1:14">
      <c r="A73" s="26"/>
    </row>
    <row r="74" spans="1:14">
      <c r="A74" s="26"/>
    </row>
    <row r="75" spans="1:14" ht="126">
      <c r="A75" s="26"/>
      <c r="C75" s="27">
        <v>1</v>
      </c>
      <c r="D75" s="28" t="s">
        <v>74</v>
      </c>
      <c r="E75" s="28"/>
      <c r="F75" s="28"/>
      <c r="G75" s="28"/>
      <c r="H75" s="28"/>
      <c r="I75" s="28"/>
      <c r="L75" s="87" t="s">
        <v>75</v>
      </c>
      <c r="M75" s="87"/>
      <c r="N75" s="87"/>
    </row>
    <row r="76" spans="1:14">
      <c r="A76" s="15" t="s">
        <v>76</v>
      </c>
      <c r="C76" s="28">
        <f>SUM(C82:C88)</f>
        <v>622400</v>
      </c>
      <c r="D76" s="28">
        <f>SUM(D82:D86)</f>
        <v>762340</v>
      </c>
      <c r="E76" s="28"/>
      <c r="F76" s="28"/>
      <c r="G76" s="28"/>
      <c r="H76" s="28"/>
      <c r="I76" s="28"/>
      <c r="L76" s="29" t="e">
        <f>#REF!+#REF!</f>
        <v>#REF!</v>
      </c>
      <c r="M76" s="29"/>
      <c r="N76" s="29"/>
    </row>
    <row r="77" spans="1:14">
      <c r="A77" s="232"/>
    </row>
    <row r="78" spans="1:14">
      <c r="A78" s="232"/>
    </row>
    <row r="79" spans="1:14">
      <c r="A79" s="232"/>
    </row>
    <row r="80" spans="1:14">
      <c r="A80" s="232"/>
    </row>
    <row r="81" spans="3:11">
      <c r="E81" s="15"/>
      <c r="F81" s="15"/>
      <c r="G81" s="15"/>
      <c r="H81" s="15"/>
      <c r="I81" s="15"/>
      <c r="J81" s="15"/>
      <c r="K81" s="15"/>
    </row>
    <row r="82" spans="3:11">
      <c r="C82" s="16">
        <v>10000</v>
      </c>
      <c r="D82" s="16">
        <v>495850</v>
      </c>
      <c r="E82" s="15"/>
      <c r="F82" s="15"/>
      <c r="G82" s="15"/>
      <c r="H82" s="15"/>
      <c r="I82" s="15"/>
      <c r="J82" s="15"/>
      <c r="K82" s="15"/>
    </row>
    <row r="83" spans="3:11">
      <c r="C83" s="16">
        <v>440000</v>
      </c>
      <c r="D83" s="16">
        <v>108100</v>
      </c>
      <c r="E83" s="15"/>
      <c r="F83" s="15"/>
      <c r="G83" s="15"/>
      <c r="H83" s="15"/>
      <c r="I83" s="15"/>
      <c r="J83" s="15"/>
      <c r="K83" s="15"/>
    </row>
    <row r="84" spans="3:11">
      <c r="C84" s="16">
        <v>60000</v>
      </c>
      <c r="D84" s="16">
        <v>2350</v>
      </c>
      <c r="E84" s="15"/>
      <c r="F84" s="15"/>
      <c r="G84" s="15"/>
      <c r="H84" s="15"/>
      <c r="I84" s="15"/>
      <c r="J84" s="15"/>
      <c r="K84" s="15"/>
    </row>
    <row r="85" spans="3:11">
      <c r="C85" s="16">
        <v>41400</v>
      </c>
      <c r="D85" s="16">
        <v>150400</v>
      </c>
      <c r="E85" s="15"/>
      <c r="F85" s="15"/>
      <c r="G85" s="15"/>
      <c r="H85" s="15"/>
      <c r="I85" s="15"/>
      <c r="J85" s="15"/>
      <c r="K85" s="15"/>
    </row>
    <row r="86" spans="3:11">
      <c r="C86" s="16">
        <v>15000</v>
      </c>
      <c r="D86" s="16">
        <v>5640</v>
      </c>
      <c r="E86" s="15"/>
      <c r="F86" s="15"/>
      <c r="G86" s="15"/>
      <c r="H86" s="15"/>
      <c r="I86" s="15"/>
      <c r="J86" s="15"/>
      <c r="K86" s="15"/>
    </row>
    <row r="87" spans="3:11">
      <c r="C87" s="16">
        <v>5000</v>
      </c>
      <c r="E87" s="15"/>
      <c r="F87" s="15"/>
      <c r="G87" s="15"/>
      <c r="H87" s="15"/>
      <c r="I87" s="15"/>
      <c r="J87" s="15"/>
      <c r="K87" s="15"/>
    </row>
    <row r="88" spans="3:11">
      <c r="C88" s="16">
        <v>51000</v>
      </c>
      <c r="E88" s="15"/>
      <c r="F88" s="15"/>
      <c r="G88" s="15"/>
      <c r="H88" s="15"/>
      <c r="I88" s="15"/>
      <c r="J88" s="15"/>
      <c r="K88" s="15"/>
    </row>
    <row r="89" spans="3:11">
      <c r="E89" s="15"/>
      <c r="F89" s="15"/>
      <c r="G89" s="15"/>
      <c r="H89" s="15"/>
      <c r="I89" s="15"/>
      <c r="J89" s="15"/>
      <c r="K89" s="15"/>
    </row>
    <row r="91" spans="3:11">
      <c r="E91" s="15"/>
      <c r="F91" s="15"/>
      <c r="G91" s="15"/>
      <c r="H91" s="15"/>
      <c r="I91" s="15"/>
      <c r="J91" s="15"/>
      <c r="K91" s="15"/>
    </row>
    <row r="92" spans="3:11">
      <c r="E92" s="15"/>
      <c r="F92" s="15"/>
      <c r="G92" s="15"/>
      <c r="H92" s="15"/>
      <c r="I92" s="15"/>
      <c r="J92" s="15"/>
      <c r="K92" s="15"/>
    </row>
    <row r="93" spans="3:11">
      <c r="E93" s="15"/>
      <c r="F93" s="15"/>
      <c r="G93" s="15"/>
      <c r="H93" s="15"/>
      <c r="I93" s="15"/>
      <c r="J93" s="15"/>
      <c r="K93" s="15"/>
    </row>
    <row r="94" spans="3:11">
      <c r="E94" s="15"/>
      <c r="F94" s="15"/>
      <c r="G94" s="15"/>
      <c r="H94" s="15"/>
      <c r="I94" s="15"/>
      <c r="J94" s="15"/>
      <c r="K94" s="15"/>
    </row>
    <row r="95" spans="3:11">
      <c r="E95" s="15"/>
      <c r="F95" s="15"/>
      <c r="G95" s="15"/>
      <c r="H95" s="15"/>
      <c r="I95" s="15"/>
      <c r="J95" s="15"/>
      <c r="K95" s="15"/>
    </row>
    <row r="96" spans="3:11">
      <c r="E96" s="15"/>
      <c r="F96" s="15"/>
      <c r="G96" s="15"/>
      <c r="H96" s="15"/>
      <c r="I96" s="15"/>
      <c r="J96" s="15"/>
      <c r="K96" s="15"/>
    </row>
    <row r="97" spans="3:11">
      <c r="C97" s="15"/>
      <c r="D97" s="15"/>
      <c r="E97" s="15"/>
      <c r="F97" s="15"/>
      <c r="G97" s="15"/>
      <c r="H97" s="15"/>
      <c r="I97" s="15"/>
      <c r="J97" s="15"/>
      <c r="K97" s="15"/>
    </row>
  </sheetData>
  <mergeCells count="12">
    <mergeCell ref="A1:B1"/>
    <mergeCell ref="A2:B2"/>
    <mergeCell ref="A3:B3"/>
    <mergeCell ref="C1:L1"/>
    <mergeCell ref="C2:L2"/>
    <mergeCell ref="A77:A80"/>
    <mergeCell ref="B4:N4"/>
    <mergeCell ref="A6:A7"/>
    <mergeCell ref="B6:B7"/>
    <mergeCell ref="C6:D6"/>
    <mergeCell ref="L6:N6"/>
    <mergeCell ref="E6:K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M70"/>
  <sheetViews>
    <sheetView tabSelected="1" workbookViewId="0">
      <selection activeCell="C7" sqref="C7:C8"/>
    </sheetView>
  </sheetViews>
  <sheetFormatPr defaultRowHeight="15.75"/>
  <cols>
    <col min="1" max="1" width="5.875" customWidth="1"/>
    <col min="2" max="2" width="43.75" customWidth="1"/>
    <col min="3" max="3" width="19.25" style="5" customWidth="1"/>
    <col min="4" max="4" width="17" customWidth="1"/>
    <col min="5" max="5" width="17.125" customWidth="1"/>
    <col min="6" max="6" width="7.25" customWidth="1"/>
    <col min="7" max="7" width="8.125" style="178" customWidth="1"/>
    <col min="8" max="8" width="7.125" style="125" customWidth="1"/>
    <col min="9" max="9" width="18.125" customWidth="1"/>
    <col min="10" max="10" width="7.625" style="177" customWidth="1"/>
    <col min="11" max="11" width="7.75" customWidth="1"/>
    <col min="12" max="12" width="7" style="124" customWidth="1"/>
    <col min="13" max="13" width="20.375" customWidth="1"/>
  </cols>
  <sheetData>
    <row r="1" spans="1:13" ht="22.5" customHeight="1">
      <c r="A1" s="245" t="s">
        <v>28</v>
      </c>
      <c r="B1" s="245"/>
      <c r="C1" s="30"/>
      <c r="D1" s="233" t="s">
        <v>12</v>
      </c>
      <c r="E1" s="233"/>
      <c r="F1" s="233"/>
      <c r="G1" s="233"/>
      <c r="H1" s="233"/>
      <c r="I1" s="233"/>
      <c r="J1" s="233"/>
      <c r="K1" s="233"/>
    </row>
    <row r="2" spans="1:13" ht="20.25" customHeight="1">
      <c r="A2" s="246" t="s">
        <v>29</v>
      </c>
      <c r="B2" s="246"/>
      <c r="C2" s="31"/>
      <c r="D2" s="247" t="s">
        <v>50</v>
      </c>
      <c r="E2" s="247"/>
      <c r="F2" s="247"/>
      <c r="G2" s="247"/>
      <c r="H2" s="247"/>
      <c r="I2" s="247"/>
      <c r="J2" s="247"/>
      <c r="K2" s="247"/>
    </row>
    <row r="3" spans="1:13" ht="17.25" customHeight="1">
      <c r="G3" s="125"/>
      <c r="J3" s="125"/>
    </row>
    <row r="4" spans="1:13" ht="28.5" customHeight="1">
      <c r="A4" s="244" t="s">
        <v>166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</row>
    <row r="5" spans="1:13" ht="16.5" customHeight="1">
      <c r="A5" s="244"/>
      <c r="B5" s="244"/>
      <c r="C5" s="244"/>
      <c r="D5" s="244"/>
      <c r="G5" s="125"/>
      <c r="I5" s="5"/>
      <c r="J5" s="126"/>
      <c r="M5" s="32"/>
    </row>
    <row r="6" spans="1:13" ht="22.5" customHeight="1">
      <c r="D6" s="32"/>
      <c r="E6" s="32"/>
      <c r="G6" s="127"/>
      <c r="I6" s="100">
        <f>I10-I9</f>
        <v>-88294428203</v>
      </c>
      <c r="J6" s="128"/>
    </row>
    <row r="7" spans="1:13" s="33" customFormat="1" ht="26.25" customHeight="1">
      <c r="A7" s="248" t="s">
        <v>0</v>
      </c>
      <c r="B7" s="250" t="s">
        <v>77</v>
      </c>
      <c r="C7" s="252" t="s">
        <v>143</v>
      </c>
      <c r="D7" s="254" t="s">
        <v>144</v>
      </c>
      <c r="E7" s="256" t="s">
        <v>167</v>
      </c>
      <c r="F7" s="254" t="s">
        <v>78</v>
      </c>
      <c r="G7" s="258" t="s">
        <v>145</v>
      </c>
      <c r="H7" s="259" t="s">
        <v>148</v>
      </c>
      <c r="I7" s="256" t="s">
        <v>168</v>
      </c>
      <c r="J7" s="261" t="s">
        <v>78</v>
      </c>
      <c r="K7" s="254" t="s">
        <v>145</v>
      </c>
      <c r="L7" s="259" t="s">
        <v>148</v>
      </c>
    </row>
    <row r="8" spans="1:13" s="33" customFormat="1" ht="43.5" customHeight="1">
      <c r="A8" s="249"/>
      <c r="B8" s="251"/>
      <c r="C8" s="253"/>
      <c r="D8" s="255"/>
      <c r="E8" s="257"/>
      <c r="F8" s="255"/>
      <c r="G8" s="258"/>
      <c r="H8" s="260"/>
      <c r="I8" s="257"/>
      <c r="J8" s="262"/>
      <c r="K8" s="255"/>
      <c r="L8" s="260"/>
    </row>
    <row r="9" spans="1:13" s="33" customFormat="1" ht="30" customHeight="1">
      <c r="A9" s="34"/>
      <c r="B9" s="35" t="s">
        <v>79</v>
      </c>
      <c r="C9" s="120">
        <f>3161055000000+C55</f>
        <v>3250529000000</v>
      </c>
      <c r="D9" s="120">
        <f>D10+D52+D55</f>
        <v>3470551000000</v>
      </c>
      <c r="E9" s="120">
        <f>E10+E52+E56</f>
        <v>865806374888</v>
      </c>
      <c r="F9" s="184">
        <f t="shared" ref="F9:F18" si="0">E9/C9*100%</f>
        <v>0.26635860651850823</v>
      </c>
      <c r="G9" s="185">
        <f t="shared" ref="G9:G32" si="1">E9/D9*100%</f>
        <v>0.24947230998420711</v>
      </c>
      <c r="H9" s="101">
        <f>E9/693994329900</f>
        <v>1.247569810855309</v>
      </c>
      <c r="I9" s="120">
        <f>I10+I52+I56</f>
        <v>1933057050106</v>
      </c>
      <c r="J9" s="36">
        <f t="shared" ref="J9:J15" si="2">I9/C9*100%</f>
        <v>0.59468998741620205</v>
      </c>
      <c r="K9" s="36">
        <f t="shared" ref="K9:K31" si="3">I9/D9*100%</f>
        <v>0.55698851568699037</v>
      </c>
      <c r="L9" s="36">
        <f>I9/1803381359615</f>
        <v>1.0719069706468987</v>
      </c>
    </row>
    <row r="10" spans="1:13" s="41" customFormat="1" ht="26.25" customHeight="1">
      <c r="A10" s="38" t="s">
        <v>1</v>
      </c>
      <c r="B10" s="39" t="s">
        <v>80</v>
      </c>
      <c r="C10" s="40">
        <v>3161055000000</v>
      </c>
      <c r="D10" s="40">
        <f>D12+D18+D46+D48</f>
        <v>3470551000000</v>
      </c>
      <c r="E10" s="40">
        <f>E11+E18+E45+E46</f>
        <v>816894895932</v>
      </c>
      <c r="F10" s="105">
        <f t="shared" si="0"/>
        <v>0.25842476512809803</v>
      </c>
      <c r="G10" s="185">
        <f t="shared" si="1"/>
        <v>0.23537902077566358</v>
      </c>
      <c r="H10" s="101">
        <f>E10/660195714291</f>
        <v>1.2373526186992641</v>
      </c>
      <c r="I10" s="40">
        <f>I11+I18+I45+I46</f>
        <v>1844762621903</v>
      </c>
      <c r="J10" s="36">
        <f t="shared" si="2"/>
        <v>0.58359080177440759</v>
      </c>
      <c r="K10" s="36">
        <f t="shared" si="3"/>
        <v>0.53154747528648905</v>
      </c>
      <c r="L10" s="129">
        <f>I10/1657524714291</f>
        <v>1.1129623624900762</v>
      </c>
    </row>
    <row r="11" spans="1:13" s="33" customFormat="1" ht="26.25" hidden="1" customHeight="1">
      <c r="A11" s="34" t="s">
        <v>5</v>
      </c>
      <c r="B11" s="34" t="s">
        <v>81</v>
      </c>
      <c r="C11" s="186">
        <v>600867000000</v>
      </c>
      <c r="D11" s="42">
        <f>D12</f>
        <v>591479000000</v>
      </c>
      <c r="E11" s="120">
        <f>E12</f>
        <v>106875000000</v>
      </c>
      <c r="F11" s="168">
        <f t="shared" si="0"/>
        <v>0.17786798076779053</v>
      </c>
      <c r="G11" s="187">
        <f t="shared" si="1"/>
        <v>0.18069111498464019</v>
      </c>
      <c r="H11" s="101"/>
      <c r="I11" s="130">
        <f>I12+I17</f>
        <v>197758000000</v>
      </c>
      <c r="J11" s="101">
        <f t="shared" si="2"/>
        <v>0.3291210866963904</v>
      </c>
      <c r="K11" s="36">
        <f t="shared" si="3"/>
        <v>0.33434492179773079</v>
      </c>
      <c r="L11" s="194"/>
      <c r="M11" s="37"/>
    </row>
    <row r="12" spans="1:13" s="33" customFormat="1" ht="26.25" customHeight="1">
      <c r="A12" s="131">
        <v>1</v>
      </c>
      <c r="B12" s="132" t="s">
        <v>82</v>
      </c>
      <c r="C12" s="119">
        <v>600867000000</v>
      </c>
      <c r="D12" s="121">
        <f t="shared" ref="D12" si="4">SUM(D13:D15)</f>
        <v>591479000000</v>
      </c>
      <c r="E12" s="119">
        <f>SUM(E13:E16)</f>
        <v>106875000000</v>
      </c>
      <c r="F12" s="36">
        <f t="shared" si="0"/>
        <v>0.17786798076779053</v>
      </c>
      <c r="G12" s="36">
        <f t="shared" si="1"/>
        <v>0.18069111498464019</v>
      </c>
      <c r="H12" s="36">
        <f>E12/121484000000</f>
        <v>0.87974548088637183</v>
      </c>
      <c r="I12" s="119">
        <f>SUM(I13:I16)</f>
        <v>197758000000</v>
      </c>
      <c r="J12" s="36">
        <f t="shared" si="2"/>
        <v>0.3291210866963904</v>
      </c>
      <c r="K12" s="36">
        <f t="shared" si="3"/>
        <v>0.33434492179773079</v>
      </c>
      <c r="L12" s="193">
        <f>I12/262156000000</f>
        <v>0.75435237034437508</v>
      </c>
    </row>
    <row r="13" spans="1:13" s="33" customFormat="1" ht="26.25" customHeight="1">
      <c r="A13" s="133"/>
      <c r="B13" s="134" t="s">
        <v>83</v>
      </c>
      <c r="C13" s="135">
        <v>239257000000</v>
      </c>
      <c r="D13" s="179">
        <v>239257000000</v>
      </c>
      <c r="E13" s="49">
        <f>73203000000-19016000000</f>
        <v>54187000000</v>
      </c>
      <c r="F13" s="103">
        <f t="shared" si="0"/>
        <v>0.2264803119657941</v>
      </c>
      <c r="G13" s="103">
        <f t="shared" si="1"/>
        <v>0.2264803119657941</v>
      </c>
      <c r="H13" s="103">
        <f>E13/3283000000</f>
        <v>16.505330490405118</v>
      </c>
      <c r="I13" s="49">
        <v>73203000000</v>
      </c>
      <c r="J13" s="103">
        <f t="shared" si="2"/>
        <v>0.30595970023865549</v>
      </c>
      <c r="K13" s="136">
        <f t="shared" si="3"/>
        <v>0.30595970023865549</v>
      </c>
      <c r="L13" s="194">
        <f>I13/43422000000</f>
        <v>1.685850490534752</v>
      </c>
      <c r="M13" s="37"/>
    </row>
    <row r="14" spans="1:13" s="33" customFormat="1" ht="26.25" customHeight="1">
      <c r="A14" s="137"/>
      <c r="B14" s="138" t="s">
        <v>84</v>
      </c>
      <c r="C14" s="139">
        <v>270000000000</v>
      </c>
      <c r="D14" s="179">
        <v>260612000000</v>
      </c>
      <c r="E14" s="50">
        <f>67170000000-40451000000</f>
        <v>26719000000</v>
      </c>
      <c r="F14" s="105">
        <f t="shared" si="0"/>
        <v>9.8959259259259261E-2</v>
      </c>
      <c r="G14" s="105">
        <f t="shared" si="1"/>
        <v>0.10252405875400979</v>
      </c>
      <c r="H14" s="105">
        <f>E14/35593000000</f>
        <v>0.75068131374146607</v>
      </c>
      <c r="I14" s="50">
        <v>67170000000</v>
      </c>
      <c r="J14" s="105">
        <f t="shared" si="2"/>
        <v>0.24877777777777776</v>
      </c>
      <c r="K14" s="36">
        <f t="shared" si="3"/>
        <v>0.25773947477476095</v>
      </c>
      <c r="L14" s="194">
        <f>I14/67258000000</f>
        <v>0.99869160545957358</v>
      </c>
      <c r="M14" s="5"/>
    </row>
    <row r="15" spans="1:13" s="33" customFormat="1" ht="26.25" customHeight="1">
      <c r="A15" s="137"/>
      <c r="B15" s="138" t="s">
        <v>85</v>
      </c>
      <c r="C15" s="139">
        <v>91610000000</v>
      </c>
      <c r="D15" s="179">
        <v>91610000000</v>
      </c>
      <c r="E15" s="50">
        <f>57385000000-31416000000</f>
        <v>25969000000</v>
      </c>
      <c r="F15" s="105">
        <f t="shared" si="0"/>
        <v>0.28347341993232178</v>
      </c>
      <c r="G15" s="105">
        <f t="shared" si="1"/>
        <v>0.28347341993232178</v>
      </c>
      <c r="H15" s="105">
        <f>E15/11369000000</f>
        <v>2.2841938604978451</v>
      </c>
      <c r="I15" s="50">
        <v>57385000000</v>
      </c>
      <c r="J15" s="105">
        <f t="shared" si="2"/>
        <v>0.62640541425608554</v>
      </c>
      <c r="K15" s="36">
        <f t="shared" si="3"/>
        <v>0.62640541425608554</v>
      </c>
      <c r="L15" s="194">
        <f>I15/19748000000</f>
        <v>2.9058638849503748</v>
      </c>
      <c r="M15" s="102"/>
    </row>
    <row r="16" spans="1:13" s="33" customFormat="1" ht="26.25" hidden="1" customHeight="1">
      <c r="A16" s="137"/>
      <c r="B16" s="140"/>
      <c r="C16" s="139"/>
      <c r="D16" s="44"/>
      <c r="E16" s="50"/>
      <c r="F16" s="105" t="e">
        <f t="shared" si="0"/>
        <v>#DIV/0!</v>
      </c>
      <c r="G16" s="105"/>
      <c r="H16" s="105"/>
      <c r="I16" s="50"/>
      <c r="J16" s="105"/>
      <c r="K16" s="36"/>
      <c r="L16" s="194"/>
      <c r="M16" s="102"/>
    </row>
    <row r="17" spans="1:13" s="33" customFormat="1" ht="26.25" hidden="1" customHeight="1">
      <c r="A17" s="141">
        <v>1</v>
      </c>
      <c r="B17" s="142" t="s">
        <v>157</v>
      </c>
      <c r="C17" s="143">
        <v>2496888000000</v>
      </c>
      <c r="D17" s="47">
        <f>D18+D31</f>
        <v>2686585000000</v>
      </c>
      <c r="E17" s="145"/>
      <c r="F17" s="105">
        <f t="shared" si="0"/>
        <v>0</v>
      </c>
      <c r="G17" s="168">
        <f t="shared" si="1"/>
        <v>0</v>
      </c>
      <c r="H17" s="168"/>
      <c r="I17" s="145">
        <v>0</v>
      </c>
      <c r="J17" s="168">
        <f>I17/C17*100%</f>
        <v>0</v>
      </c>
      <c r="K17" s="36">
        <f t="shared" si="3"/>
        <v>0</v>
      </c>
      <c r="L17" s="193"/>
    </row>
    <row r="18" spans="1:13" s="33" customFormat="1" ht="26.25" customHeight="1">
      <c r="A18" s="45" t="s">
        <v>8</v>
      </c>
      <c r="B18" s="132" t="s">
        <v>86</v>
      </c>
      <c r="C18" s="119">
        <v>2496888000000</v>
      </c>
      <c r="D18" s="47">
        <f>D19+D32</f>
        <v>2684621000000</v>
      </c>
      <c r="E18" s="47">
        <f>E19+E32</f>
        <v>579822571612</v>
      </c>
      <c r="F18" s="105">
        <f t="shared" si="0"/>
        <v>0.23221809372787244</v>
      </c>
      <c r="G18" s="36">
        <f t="shared" si="1"/>
        <v>0.21597930270678803</v>
      </c>
      <c r="H18" s="36">
        <f>E18/487948151992</f>
        <v>1.1882872580722599</v>
      </c>
      <c r="I18" s="40">
        <f t="shared" ref="I18" si="5">I19+I32</f>
        <v>1506807297583</v>
      </c>
      <c r="J18" s="36"/>
      <c r="K18" s="36">
        <f t="shared" si="3"/>
        <v>0.56127375059012052</v>
      </c>
      <c r="L18" s="193">
        <f>I18/1334605151992</f>
        <v>1.1290285335209258</v>
      </c>
      <c r="M18" s="208"/>
    </row>
    <row r="19" spans="1:13" s="33" customFormat="1" ht="26.25" customHeight="1">
      <c r="A19" s="45" t="s">
        <v>87</v>
      </c>
      <c r="B19" s="132" t="s">
        <v>88</v>
      </c>
      <c r="C19" s="119"/>
      <c r="D19" s="47">
        <f>SUM(D20:D31)</f>
        <v>2337353000000</v>
      </c>
      <c r="E19" s="47">
        <f>SUM(E20:E30)</f>
        <v>497834675328</v>
      </c>
      <c r="F19" s="36"/>
      <c r="G19" s="36">
        <f t="shared" si="1"/>
        <v>0.21299079571121693</v>
      </c>
      <c r="H19" s="36">
        <f>E19/422419866454</f>
        <v>1.1785304500639824</v>
      </c>
      <c r="I19" s="40">
        <f t="shared" ref="I19" si="6">SUM(I20:I31)</f>
        <v>1290586342447</v>
      </c>
      <c r="J19" s="36"/>
      <c r="K19" s="36">
        <f t="shared" si="3"/>
        <v>0.55215722334067641</v>
      </c>
      <c r="L19" s="195">
        <f>I19/1154281866454</f>
        <v>1.1180859545266295</v>
      </c>
      <c r="M19" s="208"/>
    </row>
    <row r="20" spans="1:13" s="33" customFormat="1" ht="26.25" customHeight="1">
      <c r="A20" s="146">
        <v>1</v>
      </c>
      <c r="B20" s="134" t="s">
        <v>89</v>
      </c>
      <c r="C20" s="135"/>
      <c r="D20" s="66">
        <v>20396000000</v>
      </c>
      <c r="E20" s="50">
        <f>8542498625-6392699133</f>
        <v>2149799492</v>
      </c>
      <c r="F20" s="103"/>
      <c r="G20" s="103">
        <f t="shared" si="1"/>
        <v>0.10540299529319475</v>
      </c>
      <c r="H20" s="103">
        <f>E20/663321476</f>
        <v>3.2409616901955998</v>
      </c>
      <c r="I20" s="49">
        <v>8542498625</v>
      </c>
      <c r="J20" s="103"/>
      <c r="K20" s="36">
        <f t="shared" si="3"/>
        <v>0.41883205653069228</v>
      </c>
      <c r="L20" s="195">
        <f>I20/3501321476</f>
        <v>2.4397927135668702</v>
      </c>
      <c r="M20" s="5"/>
    </row>
    <row r="21" spans="1:13" s="33" customFormat="1" ht="26.25" customHeight="1">
      <c r="A21" s="147">
        <v>2</v>
      </c>
      <c r="B21" s="138" t="s">
        <v>24</v>
      </c>
      <c r="C21" s="139">
        <v>1166206000000</v>
      </c>
      <c r="D21" s="66">
        <v>27973000000</v>
      </c>
      <c r="E21" s="51">
        <f>17654741673-11186230333</f>
        <v>6468511340</v>
      </c>
      <c r="F21" s="105"/>
      <c r="G21" s="105">
        <f t="shared" si="1"/>
        <v>0.23124124477174418</v>
      </c>
      <c r="H21" s="105">
        <f>E21/3914109689</f>
        <v>1.6526137114089445</v>
      </c>
      <c r="I21" s="50">
        <v>17654741673</v>
      </c>
      <c r="J21" s="105"/>
      <c r="K21" s="36">
        <f t="shared" si="3"/>
        <v>0.63113508286562037</v>
      </c>
      <c r="L21" s="195">
        <f>I21/13652109689</f>
        <v>1.2931877984561657</v>
      </c>
      <c r="M21" s="5"/>
    </row>
    <row r="22" spans="1:13" s="33" customFormat="1" ht="26.25" customHeight="1">
      <c r="A22" s="147">
        <v>3</v>
      </c>
      <c r="B22" s="57" t="s">
        <v>90</v>
      </c>
      <c r="C22" s="148"/>
      <c r="D22" s="66">
        <v>1281973000000</v>
      </c>
      <c r="E22" s="51">
        <f>908216997199-551692182236</f>
        <v>356524814963</v>
      </c>
      <c r="F22" s="105"/>
      <c r="G22" s="105">
        <f t="shared" si="1"/>
        <v>0.27810633684406771</v>
      </c>
      <c r="H22" s="105">
        <f>E22/279337848101</f>
        <v>1.2763211909404113</v>
      </c>
      <c r="I22" s="51">
        <v>908216997199</v>
      </c>
      <c r="J22" s="105"/>
      <c r="K22" s="36">
        <f t="shared" si="3"/>
        <v>0.70845251592584246</v>
      </c>
      <c r="L22" s="195">
        <f>I22/739085848101</f>
        <v>1.228838300087282</v>
      </c>
      <c r="M22" s="5"/>
    </row>
    <row r="23" spans="1:13" s="33" customFormat="1" ht="26.25" customHeight="1">
      <c r="A23" s="147">
        <v>4</v>
      </c>
      <c r="B23" s="57" t="s">
        <v>91</v>
      </c>
      <c r="C23" s="148"/>
      <c r="D23" s="66">
        <v>71225000000</v>
      </c>
      <c r="E23" s="51">
        <f>8034529700-2631056000</f>
        <v>5403473700</v>
      </c>
      <c r="F23" s="105"/>
      <c r="G23" s="105">
        <f t="shared" si="1"/>
        <v>7.5864846612846606E-2</v>
      </c>
      <c r="H23" s="105">
        <f>E23/6708725105</f>
        <v>0.80543972445268353</v>
      </c>
      <c r="I23" s="51">
        <v>8034529700</v>
      </c>
      <c r="J23" s="105"/>
      <c r="K23" s="36">
        <f t="shared" si="3"/>
        <v>0.11280490979290979</v>
      </c>
      <c r="L23" s="195">
        <f>I23/7682725105</f>
        <v>1.0457916416625452</v>
      </c>
      <c r="M23" s="5"/>
    </row>
    <row r="24" spans="1:13" s="33" customFormat="1" ht="26.25" customHeight="1">
      <c r="A24" s="147">
        <v>5</v>
      </c>
      <c r="B24" s="57" t="s">
        <v>92</v>
      </c>
      <c r="C24" s="148"/>
      <c r="D24" s="66">
        <v>34689000000</v>
      </c>
      <c r="E24" s="51">
        <f>19513134856-15204612998</f>
        <v>4308521858</v>
      </c>
      <c r="F24" s="105"/>
      <c r="G24" s="105">
        <f t="shared" si="1"/>
        <v>0.12420426815416991</v>
      </c>
      <c r="H24" s="105">
        <f>E24/2064235018</f>
        <v>2.0872244780414824</v>
      </c>
      <c r="I24" s="51">
        <v>19513134856</v>
      </c>
      <c r="J24" s="105"/>
      <c r="K24" s="36">
        <f t="shared" si="3"/>
        <v>0.56251649963965522</v>
      </c>
      <c r="L24" s="195">
        <f>I24/15359235018</f>
        <v>1.2704496567134955</v>
      </c>
      <c r="M24" s="5"/>
    </row>
    <row r="25" spans="1:13" s="33" customFormat="1" ht="26.25" customHeight="1">
      <c r="A25" s="147">
        <v>6</v>
      </c>
      <c r="B25" s="57" t="s">
        <v>93</v>
      </c>
      <c r="C25" s="148"/>
      <c r="D25" s="66">
        <v>2337000000</v>
      </c>
      <c r="E25" s="51">
        <f>885690894-569923051</f>
        <v>315767843</v>
      </c>
      <c r="F25" s="105"/>
      <c r="G25" s="105">
        <f t="shared" si="1"/>
        <v>0.13511674925117673</v>
      </c>
      <c r="H25" s="105">
        <f>E25/402927203</f>
        <v>0.78368459773613253</v>
      </c>
      <c r="I25" s="51">
        <v>885690894</v>
      </c>
      <c r="J25" s="105"/>
      <c r="K25" s="36">
        <f t="shared" si="3"/>
        <v>0.37898626187419771</v>
      </c>
      <c r="L25" s="195">
        <f>I25/921927203</f>
        <v>0.96069504307706166</v>
      </c>
      <c r="M25" s="5"/>
    </row>
    <row r="26" spans="1:13" s="33" customFormat="1" ht="26.25" customHeight="1">
      <c r="A26" s="147">
        <v>7</v>
      </c>
      <c r="B26" s="57" t="s">
        <v>94</v>
      </c>
      <c r="C26" s="148">
        <v>335205000000</v>
      </c>
      <c r="D26" s="66">
        <v>3583000000</v>
      </c>
      <c r="E26" s="51">
        <f>2091925060-1232400261</f>
        <v>859524799</v>
      </c>
      <c r="F26" s="105"/>
      <c r="G26" s="105">
        <f t="shared" si="1"/>
        <v>0.23988970108847335</v>
      </c>
      <c r="H26" s="105">
        <f>E26/504648769</f>
        <v>1.7032139020238053</v>
      </c>
      <c r="I26" s="51">
        <v>2091925060</v>
      </c>
      <c r="J26" s="105"/>
      <c r="K26" s="36">
        <f t="shared" si="3"/>
        <v>0.58384735138152388</v>
      </c>
      <c r="L26" s="195">
        <f>I26/1521648769</f>
        <v>1.3747752455218527</v>
      </c>
      <c r="M26" s="5"/>
    </row>
    <row r="27" spans="1:13" s="33" customFormat="1" ht="26.25" customHeight="1">
      <c r="A27" s="147">
        <v>8</v>
      </c>
      <c r="B27" s="57" t="s">
        <v>95</v>
      </c>
      <c r="C27" s="148"/>
      <c r="D27" s="66">
        <v>333995000000</v>
      </c>
      <c r="E27" s="51">
        <f>85048649305-29762123686</f>
        <v>55286525619</v>
      </c>
      <c r="F27" s="105"/>
      <c r="G27" s="105">
        <f t="shared" si="1"/>
        <v>0.16553099782631475</v>
      </c>
      <c r="H27" s="105">
        <f>E27/59829956500</f>
        <v>0.92406093624687824</v>
      </c>
      <c r="I27" s="51">
        <v>85048649305</v>
      </c>
      <c r="J27" s="105"/>
      <c r="K27" s="36">
        <f t="shared" si="3"/>
        <v>0.25464048654919985</v>
      </c>
      <c r="L27" s="195">
        <f>I27/90413956500</f>
        <v>0.94065841820560081</v>
      </c>
      <c r="M27" s="5"/>
    </row>
    <row r="28" spans="1:13" s="33" customFormat="1" ht="26.25" customHeight="1">
      <c r="A28" s="147">
        <v>9</v>
      </c>
      <c r="B28" s="57" t="s">
        <v>96</v>
      </c>
      <c r="C28" s="148"/>
      <c r="D28" s="66">
        <v>243869000000</v>
      </c>
      <c r="E28" s="51">
        <f>17988640867-11046201580</f>
        <v>6942439287</v>
      </c>
      <c r="F28" s="105"/>
      <c r="G28" s="105">
        <f t="shared" si="1"/>
        <v>2.8467904026342011E-2</v>
      </c>
      <c r="H28" s="105">
        <f>E28/7501595691</f>
        <v>0.92546167148532876</v>
      </c>
      <c r="I28" s="51">
        <v>17988640867</v>
      </c>
      <c r="J28" s="105"/>
      <c r="K28" s="36">
        <f t="shared" si="3"/>
        <v>7.3763540536107494E-2</v>
      </c>
      <c r="L28" s="195">
        <f>I28/64358595691</f>
        <v>0.27950642293948558</v>
      </c>
      <c r="M28" s="5"/>
    </row>
    <row r="29" spans="1:13" s="33" customFormat="1" ht="26.25" customHeight="1">
      <c r="A29" s="147">
        <v>10</v>
      </c>
      <c r="B29" s="57" t="s">
        <v>146</v>
      </c>
      <c r="C29" s="148"/>
      <c r="D29" s="66">
        <v>126888000000</v>
      </c>
      <c r="E29" s="51">
        <f>77369047716-52900791289</f>
        <v>24468256427</v>
      </c>
      <c r="F29" s="105"/>
      <c r="G29" s="105">
        <f t="shared" si="1"/>
        <v>0.19283349431782359</v>
      </c>
      <c r="H29" s="105">
        <f>E29/18133972338</f>
        <v>1.3493048280285735</v>
      </c>
      <c r="I29" s="51">
        <v>77369047716</v>
      </c>
      <c r="J29" s="105"/>
      <c r="K29" s="36">
        <f t="shared" si="3"/>
        <v>0.60974282608284469</v>
      </c>
      <c r="L29" s="195">
        <f>I29/60554972338</f>
        <v>1.2776663043316872</v>
      </c>
      <c r="M29" s="5"/>
    </row>
    <row r="30" spans="1:13" s="33" customFormat="1" ht="26.25" customHeight="1">
      <c r="A30" s="147">
        <v>11</v>
      </c>
      <c r="B30" s="57" t="s">
        <v>97</v>
      </c>
      <c r="C30" s="148"/>
      <c r="D30" s="66">
        <v>188461000000</v>
      </c>
      <c r="E30" s="51">
        <f>144349673752-109242633752</f>
        <v>35107040000</v>
      </c>
      <c r="F30" s="105"/>
      <c r="G30" s="105">
        <f t="shared" si="1"/>
        <v>0.18628278529775391</v>
      </c>
      <c r="H30" s="105">
        <f>E30/43270127764</f>
        <v>0.81134588257926177</v>
      </c>
      <c r="I30" s="51">
        <v>144349673752</v>
      </c>
      <c r="J30" s="105"/>
      <c r="K30" s="36">
        <f t="shared" si="3"/>
        <v>0.76593923279617537</v>
      </c>
      <c r="L30" s="194">
        <f>I30/156935127764</f>
        <v>0.91980473593569134</v>
      </c>
      <c r="M30" s="5"/>
    </row>
    <row r="31" spans="1:13" s="33" customFormat="1" ht="26.25" customHeight="1">
      <c r="A31" s="149">
        <v>12</v>
      </c>
      <c r="B31" s="150" t="s">
        <v>98</v>
      </c>
      <c r="C31" s="151"/>
      <c r="D31" s="48">
        <v>1964000000</v>
      </c>
      <c r="E31" s="48">
        <f>890812800-632494000</f>
        <v>258318800</v>
      </c>
      <c r="F31" s="168"/>
      <c r="G31" s="168">
        <f t="shared" si="1"/>
        <v>0.13152688391038697</v>
      </c>
      <c r="H31" s="168">
        <f>E31/88398800</f>
        <v>2.9221980388874056</v>
      </c>
      <c r="I31" s="152">
        <v>890812800</v>
      </c>
      <c r="J31" s="168"/>
      <c r="K31" s="36">
        <f t="shared" si="3"/>
        <v>0.4535706720977597</v>
      </c>
      <c r="L31" s="193">
        <f>I31/294398800</f>
        <v>3.025871029365609</v>
      </c>
      <c r="M31" s="5"/>
    </row>
    <row r="32" spans="1:13" s="33" customFormat="1" ht="26.25" customHeight="1">
      <c r="A32" s="52" t="s">
        <v>99</v>
      </c>
      <c r="B32" s="153" t="s">
        <v>100</v>
      </c>
      <c r="C32" s="154"/>
      <c r="D32" s="40">
        <f>D33+D34</f>
        <v>347268000000</v>
      </c>
      <c r="E32" s="53">
        <f>SUM(E33:E34)</f>
        <v>81987896284</v>
      </c>
      <c r="F32" s="36"/>
      <c r="G32" s="36">
        <f t="shared" si="1"/>
        <v>0.23609401466302682</v>
      </c>
      <c r="H32" s="36">
        <f>E32/65528285538</f>
        <v>1.2511832960509097</v>
      </c>
      <c r="I32" s="53">
        <f>SUM(I33:I34)</f>
        <v>216220955136</v>
      </c>
      <c r="J32" s="36"/>
      <c r="K32" s="36">
        <f>I32/D32*100%</f>
        <v>0.62263426269048694</v>
      </c>
      <c r="L32" s="193">
        <f>I32/180323285538</f>
        <v>1.1990739548189697</v>
      </c>
      <c r="M32" s="208"/>
    </row>
    <row r="33" spans="1:13" s="33" customFormat="1" ht="18.75" customHeight="1">
      <c r="A33" s="54">
        <v>1</v>
      </c>
      <c r="B33" s="155" t="s">
        <v>36</v>
      </c>
      <c r="C33" s="154"/>
      <c r="D33" s="48">
        <v>9388000000</v>
      </c>
      <c r="E33" s="48">
        <f>7738910346-4367046752</f>
        <v>3371863594</v>
      </c>
      <c r="F33" s="36"/>
      <c r="G33" s="36"/>
      <c r="H33" s="36">
        <f>E33/1257261476</f>
        <v>2.681911168333611</v>
      </c>
      <c r="I33" s="48">
        <v>7738910346</v>
      </c>
      <c r="J33" s="36"/>
      <c r="K33" s="36">
        <v>0</v>
      </c>
      <c r="L33" s="193">
        <f>I33/4082261476</f>
        <v>1.895740973844469</v>
      </c>
      <c r="M33" s="208"/>
    </row>
    <row r="34" spans="1:13" s="33" customFormat="1">
      <c r="A34" s="56">
        <v>2</v>
      </c>
      <c r="B34" s="153" t="s">
        <v>25</v>
      </c>
      <c r="C34" s="154"/>
      <c r="D34" s="183">
        <f>SUM(D35:D44)</f>
        <v>337880000000</v>
      </c>
      <c r="E34" s="40">
        <f t="shared" ref="E34" si="7">SUM(E35:E44)</f>
        <v>78616032690</v>
      </c>
      <c r="F34" s="36"/>
      <c r="G34" s="36">
        <f t="shared" ref="G34:G39" si="8">E34/D34*100%</f>
        <v>0.23267441899490943</v>
      </c>
      <c r="H34" s="36">
        <f>E34/64271024062</f>
        <v>1.2231955821049603</v>
      </c>
      <c r="I34" s="40">
        <f t="shared" ref="I34" si="9">SUM(I35:I44)</f>
        <v>208482044790</v>
      </c>
      <c r="J34" s="36"/>
      <c r="K34" s="36">
        <f t="shared" ref="K34:K39" si="10">I34/D34*100%</f>
        <v>0.61702984725346277</v>
      </c>
      <c r="L34" s="193">
        <f>I34/176241024062</f>
        <v>1.1829370936738197</v>
      </c>
      <c r="M34" s="208"/>
    </row>
    <row r="35" spans="1:13" s="33" customFormat="1">
      <c r="A35" s="146" t="s">
        <v>101</v>
      </c>
      <c r="B35" s="134" t="s">
        <v>89</v>
      </c>
      <c r="C35" s="156"/>
      <c r="D35" s="180">
        <v>26962000000</v>
      </c>
      <c r="E35" s="58">
        <f>17869476743-8736334994</f>
        <v>9133141749</v>
      </c>
      <c r="F35" s="103"/>
      <c r="G35" s="103">
        <f t="shared" si="8"/>
        <v>0.33874125617535789</v>
      </c>
      <c r="H35" s="103">
        <f>E35/5227234467</f>
        <v>1.7472225144401581</v>
      </c>
      <c r="I35" s="58">
        <v>17869476743</v>
      </c>
      <c r="J35" s="103"/>
      <c r="K35" s="136">
        <f t="shared" si="10"/>
        <v>0.66276525268896969</v>
      </c>
      <c r="L35" s="195">
        <f>I35/13718234467</f>
        <v>1.3026076195144536</v>
      </c>
      <c r="M35" s="5"/>
    </row>
    <row r="36" spans="1:13" s="33" customFormat="1">
      <c r="A36" s="147" t="s">
        <v>102</v>
      </c>
      <c r="B36" s="138" t="s">
        <v>24</v>
      </c>
      <c r="C36" s="157"/>
      <c r="D36" s="181">
        <v>51847000000</v>
      </c>
      <c r="E36" s="51">
        <f>33023118631-23206398023</f>
        <v>9816720608</v>
      </c>
      <c r="F36" s="105"/>
      <c r="G36" s="105">
        <f t="shared" si="8"/>
        <v>0.18934018570023337</v>
      </c>
      <c r="H36" s="105">
        <f>E36/12727109858</f>
        <v>0.77132363258649883</v>
      </c>
      <c r="I36" s="51">
        <v>33023118631</v>
      </c>
      <c r="J36" s="105"/>
      <c r="K36" s="36">
        <f t="shared" si="10"/>
        <v>0.63693402956776668</v>
      </c>
      <c r="L36" s="195">
        <f>I36/31597109858</f>
        <v>1.0451309875937578</v>
      </c>
      <c r="M36" s="5"/>
    </row>
    <row r="37" spans="1:13" s="33" customFormat="1">
      <c r="A37" s="147" t="s">
        <v>103</v>
      </c>
      <c r="B37" s="57" t="s">
        <v>92</v>
      </c>
      <c r="C37" s="157"/>
      <c r="D37" s="181">
        <v>1212000000</v>
      </c>
      <c r="E37" s="51">
        <f>802124374-689551949</f>
        <v>112572425</v>
      </c>
      <c r="F37" s="105"/>
      <c r="G37" s="105">
        <f t="shared" si="8"/>
        <v>9.2881538778877892E-2</v>
      </c>
      <c r="H37" s="105">
        <f>E37/192323849</f>
        <v>0.58532743383271202</v>
      </c>
      <c r="I37" s="51">
        <v>802124374</v>
      </c>
      <c r="J37" s="105"/>
      <c r="K37" s="36">
        <f t="shared" si="10"/>
        <v>0.6618187904290429</v>
      </c>
      <c r="L37" s="195">
        <f>I37/839323849</f>
        <v>0.95567923508390618</v>
      </c>
      <c r="M37" s="5"/>
    </row>
    <row r="38" spans="1:13" s="33" customFormat="1">
      <c r="A38" s="147" t="s">
        <v>104</v>
      </c>
      <c r="B38" s="57" t="s">
        <v>93</v>
      </c>
      <c r="C38" s="157"/>
      <c r="D38" s="181">
        <v>1004000000</v>
      </c>
      <c r="E38" s="51">
        <f>286763394-163400651</f>
        <v>123362743</v>
      </c>
      <c r="F38" s="105"/>
      <c r="G38" s="105">
        <f t="shared" si="8"/>
        <v>0.12287125796812749</v>
      </c>
      <c r="H38" s="105">
        <f>E38/146473406</f>
        <v>0.84221939237215526</v>
      </c>
      <c r="I38" s="51">
        <v>286763394</v>
      </c>
      <c r="J38" s="105"/>
      <c r="K38" s="36">
        <f t="shared" si="10"/>
        <v>0.28562091035856574</v>
      </c>
      <c r="L38" s="195">
        <f>I38/293473406</f>
        <v>0.97713587717723216</v>
      </c>
      <c r="M38" s="5"/>
    </row>
    <row r="39" spans="1:13" s="33" customFormat="1">
      <c r="A39" s="147" t="s">
        <v>105</v>
      </c>
      <c r="B39" s="57" t="s">
        <v>94</v>
      </c>
      <c r="C39" s="157"/>
      <c r="D39" s="181">
        <v>1146000000</v>
      </c>
      <c r="E39" s="51">
        <f>520892530-342253540</f>
        <v>178638990</v>
      </c>
      <c r="F39" s="105"/>
      <c r="G39" s="105">
        <f t="shared" si="8"/>
        <v>0.15588044502617801</v>
      </c>
      <c r="H39" s="105">
        <f>E39/167566960</f>
        <v>1.0660752573180297</v>
      </c>
      <c r="I39" s="51">
        <v>520892530</v>
      </c>
      <c r="J39" s="105"/>
      <c r="K39" s="36">
        <f t="shared" si="10"/>
        <v>0.45453100349040138</v>
      </c>
      <c r="L39" s="195">
        <f>I39/541566960</f>
        <v>0.961824794481554</v>
      </c>
      <c r="M39" s="5"/>
    </row>
    <row r="40" spans="1:13" s="33" customFormat="1">
      <c r="A40" s="147" t="s">
        <v>106</v>
      </c>
      <c r="B40" s="57" t="s">
        <v>95</v>
      </c>
      <c r="C40" s="157"/>
      <c r="D40" s="181">
        <v>0</v>
      </c>
      <c r="E40" s="51">
        <f>56940030-31692600</f>
        <v>25247430</v>
      </c>
      <c r="F40" s="105"/>
      <c r="G40" s="105"/>
      <c r="H40" s="105">
        <f>E40/37303372</f>
        <v>0.67681361352534031</v>
      </c>
      <c r="I40" s="51">
        <v>56940030</v>
      </c>
      <c r="J40" s="105"/>
      <c r="K40" s="36">
        <v>0</v>
      </c>
      <c r="L40" s="195">
        <f>I40/116303372</f>
        <v>0.48958193576709025</v>
      </c>
      <c r="M40" s="5"/>
    </row>
    <row r="41" spans="1:13" s="33" customFormat="1">
      <c r="A41" s="147" t="s">
        <v>107</v>
      </c>
      <c r="B41" s="57" t="s">
        <v>96</v>
      </c>
      <c r="C41" s="157"/>
      <c r="D41" s="181">
        <v>3380000000</v>
      </c>
      <c r="E41" s="51">
        <f>921046815-639776340</f>
        <v>281270475</v>
      </c>
      <c r="F41" s="105"/>
      <c r="G41" s="105">
        <f>E41/D41*100%</f>
        <v>8.3216116863905329E-2</v>
      </c>
      <c r="H41" s="105">
        <f>E41/236375872</f>
        <v>1.1899288731127347</v>
      </c>
      <c r="I41" s="51">
        <v>921046815</v>
      </c>
      <c r="J41" s="51"/>
      <c r="K41" s="36">
        <f>I41/D41*100%</f>
        <v>0.2724990576923077</v>
      </c>
      <c r="L41" s="195">
        <f>I41/732375872</f>
        <v>1.2576149081547023</v>
      </c>
      <c r="M41" s="5"/>
    </row>
    <row r="42" spans="1:13" s="33" customFormat="1">
      <c r="A42" s="147" t="s">
        <v>108</v>
      </c>
      <c r="B42" s="57" t="s">
        <v>109</v>
      </c>
      <c r="C42" s="157"/>
      <c r="D42" s="181">
        <v>215597000000</v>
      </c>
      <c r="E42" s="51">
        <f>134055895656-83139984357</f>
        <v>50915911299</v>
      </c>
      <c r="F42" s="105"/>
      <c r="G42" s="105">
        <f>E42/D42*100%</f>
        <v>0.23616242943547452</v>
      </c>
      <c r="H42" s="105">
        <f>E42/37753083176</f>
        <v>1.3486557127436876</v>
      </c>
      <c r="I42" s="51">
        <v>134055895656</v>
      </c>
      <c r="J42" s="51"/>
      <c r="K42" s="36">
        <f>I42/D42*100%</f>
        <v>0.62178924408039071</v>
      </c>
      <c r="L42" s="195">
        <f>I42/106635083176</f>
        <v>1.2571462567787588</v>
      </c>
      <c r="M42" s="5"/>
    </row>
    <row r="43" spans="1:13" s="33" customFormat="1">
      <c r="A43" s="147" t="s">
        <v>110</v>
      </c>
      <c r="B43" s="57" t="s">
        <v>97</v>
      </c>
      <c r="C43" s="157"/>
      <c r="D43" s="181">
        <v>939000000</v>
      </c>
      <c r="E43" s="181">
        <f>282036116-100892170</f>
        <v>181143946</v>
      </c>
      <c r="F43" s="105"/>
      <c r="G43" s="105">
        <f>E43/D43*100%</f>
        <v>0.19291155058572951</v>
      </c>
      <c r="H43" s="105">
        <f>E43/308812513</f>
        <v>0.58658227362697568</v>
      </c>
      <c r="I43" s="51">
        <v>282036116</v>
      </c>
      <c r="J43" s="51"/>
      <c r="K43" s="36">
        <f>I43/D43*100%</f>
        <v>0.30035795101171459</v>
      </c>
      <c r="L43" s="194">
        <f>I43/467812513</f>
        <v>0.6028827963393959</v>
      </c>
      <c r="M43" s="5"/>
    </row>
    <row r="44" spans="1:13" s="33" customFormat="1">
      <c r="A44" s="149" t="s">
        <v>111</v>
      </c>
      <c r="B44" s="150" t="s">
        <v>98</v>
      </c>
      <c r="C44" s="143"/>
      <c r="D44" s="182">
        <v>35793000000</v>
      </c>
      <c r="E44" s="152">
        <f>20663750501-12815727476</f>
        <v>7848023025</v>
      </c>
      <c r="F44" s="168"/>
      <c r="G44" s="168">
        <f>E44/D44*100%</f>
        <v>0.21926139259073002</v>
      </c>
      <c r="H44" s="168">
        <f>E44/7474740589</f>
        <v>1.0499391827121507</v>
      </c>
      <c r="I44" s="152">
        <v>20663750501</v>
      </c>
      <c r="J44" s="152"/>
      <c r="K44" s="36">
        <f>I44/D44*100%</f>
        <v>0.57731261702008774</v>
      </c>
      <c r="L44" s="193">
        <f>I44/21299740589</f>
        <v>0.97014094677150908</v>
      </c>
      <c r="M44" s="5"/>
    </row>
    <row r="45" spans="1:13" s="33" customFormat="1" ht="27" customHeight="1">
      <c r="A45" s="52" t="s">
        <v>9</v>
      </c>
      <c r="B45" s="158" t="s">
        <v>158</v>
      </c>
      <c r="C45" s="154"/>
      <c r="D45" s="42"/>
      <c r="E45" s="40"/>
      <c r="F45" s="36"/>
      <c r="G45" s="36"/>
      <c r="H45" s="36"/>
      <c r="I45" s="40"/>
      <c r="J45" s="40"/>
      <c r="K45" s="36"/>
      <c r="L45" s="193"/>
      <c r="M45" s="5"/>
    </row>
    <row r="46" spans="1:13" s="33" customFormat="1" ht="33" customHeight="1">
      <c r="A46" s="52" t="s">
        <v>11</v>
      </c>
      <c r="B46" s="158" t="s">
        <v>159</v>
      </c>
      <c r="C46" s="159"/>
      <c r="D46" s="40">
        <v>131151000000</v>
      </c>
      <c r="E46" s="40">
        <f>140197324320-10000000000</f>
        <v>130197324320</v>
      </c>
      <c r="F46" s="36"/>
      <c r="G46" s="36"/>
      <c r="H46" s="36">
        <f>E46/50763562299</f>
        <v>2.5647791136707672</v>
      </c>
      <c r="I46" s="40">
        <v>140197324320</v>
      </c>
      <c r="J46" s="40"/>
      <c r="K46" s="36"/>
      <c r="L46" s="43">
        <f>I46/60763562299</f>
        <v>2.3072597954367673</v>
      </c>
      <c r="M46" s="5"/>
    </row>
    <row r="47" spans="1:13" s="41" customFormat="1">
      <c r="A47" s="59" t="s">
        <v>46</v>
      </c>
      <c r="B47" s="160" t="s">
        <v>147</v>
      </c>
      <c r="C47" s="161"/>
      <c r="D47" s="47"/>
      <c r="E47" s="47">
        <f>E48</f>
        <v>0</v>
      </c>
      <c r="F47" s="36"/>
      <c r="G47" s="36"/>
      <c r="H47" s="36"/>
      <c r="I47" s="40"/>
      <c r="J47" s="40"/>
      <c r="K47" s="36"/>
      <c r="L47" s="43"/>
    </row>
    <row r="48" spans="1:13" s="41" customFormat="1">
      <c r="A48" s="59" t="s">
        <v>138</v>
      </c>
      <c r="B48" s="153" t="s">
        <v>115</v>
      </c>
      <c r="C48" s="40">
        <v>63300000000</v>
      </c>
      <c r="D48" s="61">
        <f>D49+D50</f>
        <v>63300000000</v>
      </c>
      <c r="E48" s="40">
        <f>E49+E50</f>
        <v>0</v>
      </c>
      <c r="F48" s="36"/>
      <c r="G48" s="36"/>
      <c r="H48" s="36"/>
      <c r="I48" s="40"/>
      <c r="J48" s="40"/>
      <c r="K48" s="36"/>
      <c r="L48" s="43"/>
    </row>
    <row r="49" spans="1:13" s="41" customFormat="1">
      <c r="A49" s="162"/>
      <c r="B49" s="135" t="s">
        <v>88</v>
      </c>
      <c r="C49" s="163"/>
      <c r="D49" s="60">
        <v>57105000000</v>
      </c>
      <c r="E49" s="164"/>
      <c r="F49" s="103"/>
      <c r="G49" s="103"/>
      <c r="H49" s="103"/>
      <c r="I49" s="163"/>
      <c r="J49" s="163"/>
      <c r="K49" s="36"/>
      <c r="L49" s="196"/>
    </row>
    <row r="50" spans="1:13" s="41" customFormat="1">
      <c r="A50" s="165"/>
      <c r="B50" s="166" t="s">
        <v>116</v>
      </c>
      <c r="C50" s="167"/>
      <c r="D50" s="188">
        <v>6195000000</v>
      </c>
      <c r="E50" s="62"/>
      <c r="F50" s="168"/>
      <c r="G50" s="168"/>
      <c r="H50" s="168"/>
      <c r="I50" s="167"/>
      <c r="J50" s="167"/>
      <c r="K50" s="36"/>
      <c r="L50" s="197"/>
    </row>
    <row r="51" spans="1:13" s="41" customFormat="1">
      <c r="A51" s="59" t="s">
        <v>140</v>
      </c>
      <c r="B51" s="153" t="s">
        <v>33</v>
      </c>
      <c r="C51" s="40"/>
      <c r="D51" s="47"/>
      <c r="E51" s="40"/>
      <c r="F51" s="36"/>
      <c r="G51" s="36"/>
      <c r="H51" s="36"/>
      <c r="I51" s="40"/>
      <c r="J51" s="40"/>
      <c r="K51" s="36"/>
      <c r="L51" s="43"/>
    </row>
    <row r="52" spans="1:13" s="33" customFormat="1">
      <c r="A52" s="52" t="s">
        <v>2</v>
      </c>
      <c r="B52" s="153" t="s">
        <v>112</v>
      </c>
      <c r="C52" s="154">
        <v>0</v>
      </c>
      <c r="D52" s="189"/>
      <c r="E52" s="47">
        <f>E53</f>
        <v>48855098956</v>
      </c>
      <c r="F52" s="36"/>
      <c r="G52" s="36"/>
      <c r="H52" s="36">
        <f>E52/15937821620</f>
        <v>3.0653561145829915</v>
      </c>
      <c r="I52" s="47">
        <f>I53</f>
        <v>80045772000</v>
      </c>
      <c r="J52" s="47"/>
      <c r="K52" s="36"/>
      <c r="L52" s="43">
        <f>I52/59467821620</f>
        <v>1.3460350458352639</v>
      </c>
    </row>
    <row r="53" spans="1:13" s="33" customFormat="1">
      <c r="A53" s="169"/>
      <c r="B53" s="170" t="s">
        <v>169</v>
      </c>
      <c r="C53" s="135"/>
      <c r="D53" s="62"/>
      <c r="E53" s="171">
        <f>SUM(E54:E55)</f>
        <v>48855098956</v>
      </c>
      <c r="F53" s="103"/>
      <c r="G53" s="103"/>
      <c r="H53" s="36">
        <f>E53/15937821620</f>
        <v>3.0653561145829915</v>
      </c>
      <c r="I53" s="171">
        <f>I54+I55</f>
        <v>80045772000</v>
      </c>
      <c r="J53" s="103"/>
      <c r="K53" s="36"/>
      <c r="L53" s="43">
        <f>I53/59467821620</f>
        <v>1.3460350458352639</v>
      </c>
    </row>
    <row r="54" spans="1:13" s="33" customFormat="1" ht="21" customHeight="1">
      <c r="A54" s="104">
        <v>1</v>
      </c>
      <c r="B54" s="139" t="s">
        <v>113</v>
      </c>
      <c r="C54" s="139"/>
      <c r="D54" s="62"/>
      <c r="E54" s="66">
        <f>72106000000-34322000000</f>
        <v>37784000000</v>
      </c>
      <c r="F54" s="105"/>
      <c r="G54" s="105"/>
      <c r="H54" s="105">
        <f>E54/14214000000</f>
        <v>2.6582242859152947</v>
      </c>
      <c r="I54" s="66">
        <v>72106000000</v>
      </c>
      <c r="J54" s="105"/>
      <c r="K54" s="36"/>
      <c r="L54" s="105">
        <f>I54/52207000000</f>
        <v>1.3811557837071657</v>
      </c>
    </row>
    <row r="55" spans="1:13" s="33" customFormat="1" ht="26.25" customHeight="1">
      <c r="A55" s="172">
        <v>2</v>
      </c>
      <c r="B55" s="166" t="s">
        <v>114</v>
      </c>
      <c r="C55" s="143">
        <v>89474000000</v>
      </c>
      <c r="D55" s="190">
        <v>0</v>
      </c>
      <c r="E55" s="166">
        <f>18464870956-7393772000</f>
        <v>11071098956</v>
      </c>
      <c r="F55" s="105"/>
      <c r="G55" s="144"/>
      <c r="H55" s="105">
        <f>E55/1723821620</f>
        <v>6.4224156534247436</v>
      </c>
      <c r="I55" s="166">
        <v>7939772000</v>
      </c>
      <c r="J55" s="168"/>
      <c r="K55" s="36"/>
      <c r="L55" s="168">
        <f>I55/7260821620</f>
        <v>1.0935087536278023</v>
      </c>
      <c r="M55" s="5"/>
    </row>
    <row r="56" spans="1:13" s="33" customFormat="1" ht="26.25" customHeight="1">
      <c r="A56" s="45" t="s">
        <v>10</v>
      </c>
      <c r="B56" s="132" t="s">
        <v>48</v>
      </c>
      <c r="C56" s="119"/>
      <c r="D56" s="119">
        <v>0</v>
      </c>
      <c r="E56" s="47">
        <f>8248656203-8192276203</f>
        <v>56380000</v>
      </c>
      <c r="F56" s="55"/>
      <c r="G56" s="55"/>
      <c r="H56" s="55"/>
      <c r="I56" s="47">
        <v>8248656203</v>
      </c>
      <c r="J56" s="55"/>
      <c r="K56" s="36"/>
      <c r="L56" s="173"/>
    </row>
    <row r="57" spans="1:13" s="33" customFormat="1" ht="26.25" customHeight="1">
      <c r="A57" s="45" t="s">
        <v>23</v>
      </c>
      <c r="B57" s="132" t="s">
        <v>118</v>
      </c>
      <c r="C57" s="119"/>
      <c r="D57" s="107">
        <v>0</v>
      </c>
      <c r="E57" s="47"/>
      <c r="F57" s="174"/>
      <c r="G57" s="174"/>
      <c r="H57" s="174"/>
      <c r="I57" s="106"/>
      <c r="J57" s="106"/>
      <c r="K57" s="36"/>
      <c r="L57" s="175"/>
    </row>
    <row r="58" spans="1:13" s="33" customFormat="1" ht="26.25" hidden="1" customHeight="1">
      <c r="A58" s="45" t="s">
        <v>117</v>
      </c>
      <c r="B58" s="45" t="s">
        <v>160</v>
      </c>
      <c r="C58" s="46"/>
      <c r="D58" s="106">
        <v>0</v>
      </c>
      <c r="E58" s="106"/>
      <c r="F58" s="174"/>
      <c r="G58" s="174"/>
      <c r="H58" s="174"/>
      <c r="I58" s="106"/>
      <c r="J58" s="106"/>
      <c r="K58" s="36"/>
      <c r="L58" s="175"/>
    </row>
    <row r="59" spans="1:13" ht="26.25" customHeight="1">
      <c r="D59" s="91"/>
      <c r="E59" s="32"/>
      <c r="G59" s="125"/>
      <c r="I59" s="32"/>
      <c r="J59" s="176"/>
    </row>
    <row r="60" spans="1:13" ht="26.25" customHeight="1">
      <c r="B60" s="63"/>
      <c r="G60" s="125"/>
      <c r="J60"/>
      <c r="K60" s="124"/>
      <c r="L60"/>
    </row>
    <row r="61" spans="1:13" ht="26.25" customHeight="1">
      <c r="G61" s="125"/>
      <c r="J61"/>
      <c r="K61" s="124"/>
      <c r="L61"/>
    </row>
    <row r="62" spans="1:13" ht="26.25" customHeight="1">
      <c r="G62" s="125"/>
      <c r="J62"/>
      <c r="K62" s="124"/>
      <c r="L62"/>
    </row>
    <row r="63" spans="1:13" ht="26.25" customHeight="1">
      <c r="C63"/>
      <c r="G63" s="125"/>
      <c r="J63"/>
      <c r="K63" s="124"/>
      <c r="L63"/>
    </row>
    <row r="64" spans="1:13" ht="26.25" customHeight="1">
      <c r="B64" s="64"/>
      <c r="C64"/>
      <c r="G64" s="125"/>
      <c r="J64"/>
      <c r="K64" s="124"/>
      <c r="L64"/>
    </row>
    <row r="65" spans="2:12" ht="26.25" customHeight="1">
      <c r="B65" s="64"/>
      <c r="C65"/>
      <c r="G65" s="125"/>
      <c r="J65"/>
      <c r="K65" s="124"/>
      <c r="L65"/>
    </row>
    <row r="66" spans="2:12" ht="26.25" customHeight="1">
      <c r="B66" s="64"/>
      <c r="C66"/>
      <c r="G66" s="125"/>
      <c r="J66"/>
      <c r="K66" s="124"/>
      <c r="L66"/>
    </row>
    <row r="67" spans="2:12" ht="26.25" customHeight="1">
      <c r="C67"/>
      <c r="G67" s="125"/>
      <c r="J67"/>
      <c r="K67" s="124"/>
      <c r="L67"/>
    </row>
    <row r="68" spans="2:12" ht="26.25" customHeight="1">
      <c r="C68"/>
      <c r="G68" s="125"/>
      <c r="J68"/>
      <c r="K68" s="124"/>
      <c r="L68"/>
    </row>
    <row r="69" spans="2:12" ht="26.25" customHeight="1">
      <c r="C69"/>
      <c r="G69" s="125"/>
    </row>
    <row r="70" spans="2:12">
      <c r="G70" s="127"/>
    </row>
  </sheetData>
  <mergeCells count="18">
    <mergeCell ref="L7:L8"/>
    <mergeCell ref="A7:A8"/>
    <mergeCell ref="B7:B8"/>
    <mergeCell ref="C7:C8"/>
    <mergeCell ref="K7:K8"/>
    <mergeCell ref="D7:D8"/>
    <mergeCell ref="E7:E8"/>
    <mergeCell ref="F7:F8"/>
    <mergeCell ref="G7:G8"/>
    <mergeCell ref="H7:H8"/>
    <mergeCell ref="I7:I8"/>
    <mergeCell ref="J7:J8"/>
    <mergeCell ref="A5:D5"/>
    <mergeCell ref="A1:B1"/>
    <mergeCell ref="A2:B2"/>
    <mergeCell ref="D1:K1"/>
    <mergeCell ref="D2:K2"/>
    <mergeCell ref="A4:K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5724F6-D01F-4A62-B636-E9A118F4E2BC}"/>
</file>

<file path=customXml/itemProps2.xml><?xml version="1.0" encoding="utf-8"?>
<ds:datastoreItem xmlns:ds="http://schemas.openxmlformats.org/officeDocument/2006/customXml" ds:itemID="{6225CB3E-43C2-40AF-A9A9-FF4C3AD8D4F6}"/>
</file>

<file path=customXml/itemProps3.xml><?xml version="1.0" encoding="utf-8"?>
<ds:datastoreItem xmlns:ds="http://schemas.openxmlformats.org/officeDocument/2006/customXml" ds:itemID="{B6C2EC7D-BB06-41AC-B844-E672B12B22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MAU 93-ck (2)</vt:lpstr>
      <vt:lpstr>MAU 94-ck (4)</vt:lpstr>
      <vt:lpstr>MAU 95-CK </vt:lpstr>
      <vt:lpstr>'MAU 93-ck (2)'!Print_Titles</vt:lpstr>
      <vt:lpstr>'MAU 94-ck (4)'!Print_Titles</vt:lpstr>
      <vt:lpstr>'MAU 95-CK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VU BH</dc:creator>
  <cp:lastModifiedBy>hello</cp:lastModifiedBy>
  <cp:lastPrinted>2024-10-11T05:30:08Z</cp:lastPrinted>
  <dcterms:created xsi:type="dcterms:W3CDTF">2017-07-22T05:53:59Z</dcterms:created>
  <dcterms:modified xsi:type="dcterms:W3CDTF">2024-10-11T07:37:20Z</dcterms:modified>
</cp:coreProperties>
</file>